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firstSheet="2" activeTab="8"/>
  </bookViews>
  <sheets>
    <sheet name="2015г " sheetId="1" r:id="rId1"/>
    <sheet name="1 кв 2016г " sheetId="4" r:id="rId2"/>
    <sheet name="2 кв 2016г  (2)" sheetId="5" r:id="rId3"/>
    <sheet name="3 кв 2016г " sheetId="6" r:id="rId4"/>
    <sheet name="4 кв 2016г " sheetId="7" r:id="rId5"/>
    <sheet name="2016г  " sheetId="8" r:id="rId6"/>
    <sheet name="1 кв 2017г" sheetId="9" r:id="rId7"/>
    <sheet name="2 кв 2017г " sheetId="10" r:id="rId8"/>
    <sheet name="3 кв 2017г" sheetId="11" r:id="rId9"/>
  </sheets>
  <definedNames>
    <definedName name="_xlnm._FilterDatabase" localSheetId="1" hidden="1">'1 кв 2016г '!#REF!</definedName>
    <definedName name="_xlnm._FilterDatabase" localSheetId="6" hidden="1">'1 кв 2017г'!#REF!</definedName>
    <definedName name="_xlnm._FilterDatabase" localSheetId="2" hidden="1">'2 кв 2016г  (2)'!#REF!</definedName>
    <definedName name="_xlnm._FilterDatabase" localSheetId="7" hidden="1">'2 кв 2017г '!#REF!</definedName>
    <definedName name="_xlnm._FilterDatabase" localSheetId="0" hidden="1">'2015г '!$B$2:$H$2</definedName>
    <definedName name="_xlnm._FilterDatabase" localSheetId="5" hidden="1">'2016г  '!$B$2:$H$2</definedName>
    <definedName name="_xlnm._FilterDatabase" localSheetId="3" hidden="1">'3 кв 2016г '!#REF!</definedName>
    <definedName name="_xlnm._FilterDatabase" localSheetId="8" hidden="1">'3 кв 2017г'!#REF!</definedName>
    <definedName name="_xlnm._FilterDatabase" localSheetId="4" hidden="1">'4 кв 2016г '!#REF!</definedName>
  </definedNames>
  <calcPr calcId="145621"/>
</workbook>
</file>

<file path=xl/calcChain.xml><?xml version="1.0" encoding="utf-8"?>
<calcChain xmlns="http://schemas.openxmlformats.org/spreadsheetml/2006/main">
  <c r="D16" i="11" l="1"/>
  <c r="D19" i="11" s="1"/>
  <c r="G15" i="11"/>
  <c r="G16" i="11" s="1"/>
  <c r="G19" i="11" s="1"/>
  <c r="F15" i="11"/>
  <c r="F16" i="11" s="1"/>
  <c r="F19" i="11" s="1"/>
  <c r="E15" i="11"/>
  <c r="E16" i="11" s="1"/>
  <c r="E19" i="11" s="1"/>
  <c r="D15" i="11"/>
  <c r="C15" i="11"/>
  <c r="C16" i="11" s="1"/>
  <c r="C19" i="11" l="1"/>
  <c r="C18" i="11"/>
  <c r="F16" i="10"/>
  <c r="F19" i="10" s="1"/>
  <c r="G15" i="10"/>
  <c r="G16" i="10" s="1"/>
  <c r="G19" i="10" s="1"/>
  <c r="F15" i="10"/>
  <c r="E15" i="10"/>
  <c r="E16" i="10" s="1"/>
  <c r="E19" i="10" s="1"/>
  <c r="D15" i="10"/>
  <c r="D16" i="10" s="1"/>
  <c r="D19" i="10" s="1"/>
  <c r="C15" i="10"/>
  <c r="C16" i="10" s="1"/>
  <c r="C19" i="10" l="1"/>
  <c r="C18" i="10"/>
  <c r="G16" i="9"/>
  <c r="G19" i="9" s="1"/>
  <c r="C16" i="9"/>
  <c r="C19" i="9" s="1"/>
  <c r="G15" i="9"/>
  <c r="F15" i="9"/>
  <c r="F16" i="9" s="1"/>
  <c r="F19" i="9" s="1"/>
  <c r="E15" i="9"/>
  <c r="E16" i="9" s="1"/>
  <c r="E19" i="9" s="1"/>
  <c r="D15" i="9"/>
  <c r="D16" i="9" s="1"/>
  <c r="D19" i="9" s="1"/>
  <c r="C15" i="9"/>
  <c r="C18" i="9" l="1"/>
  <c r="F26" i="8"/>
  <c r="E35" i="8"/>
  <c r="D10" i="8"/>
  <c r="E10" i="8"/>
  <c r="D7" i="8"/>
  <c r="E7" i="8"/>
  <c r="E4" i="8"/>
  <c r="E31" i="8" l="1"/>
  <c r="F48" i="8"/>
  <c r="G48" i="8"/>
  <c r="D16" i="8" l="1"/>
  <c r="C55" i="8" l="1"/>
  <c r="G52" i="8"/>
  <c r="C39" i="8"/>
  <c r="C16" i="8"/>
  <c r="E16" i="8"/>
  <c r="F16" i="8"/>
  <c r="G16" i="8"/>
  <c r="G10" i="8" l="1"/>
  <c r="F10" i="8"/>
  <c r="C10" i="8"/>
  <c r="C7" i="8"/>
  <c r="G7" i="8"/>
  <c r="F7" i="8"/>
  <c r="G26" i="8" l="1"/>
  <c r="C28" i="8"/>
  <c r="C26" i="8"/>
  <c r="G23" i="8"/>
  <c r="C23" i="8"/>
  <c r="C25" i="8"/>
  <c r="E22" i="8"/>
  <c r="C22" i="8"/>
  <c r="F4" i="8"/>
  <c r="C4" i="8"/>
  <c r="D4" i="8"/>
  <c r="D6" i="8" s="1"/>
  <c r="G75" i="8"/>
  <c r="G77" i="8" s="1"/>
  <c r="F75" i="8"/>
  <c r="F77" i="8" s="1"/>
  <c r="E75" i="8"/>
  <c r="E77" i="8" s="1"/>
  <c r="D75" i="8"/>
  <c r="D77" i="8" s="1"/>
  <c r="C75" i="8"/>
  <c r="C77" i="8" s="1"/>
  <c r="G72" i="8"/>
  <c r="G74" i="8" s="1"/>
  <c r="F72" i="8"/>
  <c r="F74" i="8" s="1"/>
  <c r="E72" i="8"/>
  <c r="E74" i="8" s="1"/>
  <c r="D72" i="8"/>
  <c r="D74" i="8" s="1"/>
  <c r="C72" i="8"/>
  <c r="C74" i="8" s="1"/>
  <c r="G68" i="8"/>
  <c r="G70" i="8" s="1"/>
  <c r="F68" i="8"/>
  <c r="F70" i="8" s="1"/>
  <c r="E68" i="8"/>
  <c r="E70" i="8" s="1"/>
  <c r="D68" i="8"/>
  <c r="D70" i="8" s="1"/>
  <c r="C68" i="8"/>
  <c r="C70" i="8" s="1"/>
  <c r="G65" i="8"/>
  <c r="G67" i="8" s="1"/>
  <c r="F65" i="8"/>
  <c r="F67" i="8" s="1"/>
  <c r="E65" i="8"/>
  <c r="E67" i="8" s="1"/>
  <c r="D65" i="8"/>
  <c r="D67" i="8" s="1"/>
  <c r="C65" i="8"/>
  <c r="C67" i="8" s="1"/>
  <c r="G61" i="8"/>
  <c r="G63" i="8" s="1"/>
  <c r="F61" i="8"/>
  <c r="F63" i="8" s="1"/>
  <c r="E61" i="8"/>
  <c r="E63" i="8" s="1"/>
  <c r="D61" i="8"/>
  <c r="D63" i="8" s="1"/>
  <c r="C61" i="8"/>
  <c r="C63" i="8" s="1"/>
  <c r="G58" i="8"/>
  <c r="G60" i="8" s="1"/>
  <c r="F58" i="8"/>
  <c r="F60" i="8" s="1"/>
  <c r="E58" i="8"/>
  <c r="E60" i="8" s="1"/>
  <c r="D58" i="8"/>
  <c r="D60" i="8" s="1"/>
  <c r="C58" i="8"/>
  <c r="C60" i="8" s="1"/>
  <c r="G55" i="8"/>
  <c r="G57" i="8" s="1"/>
  <c r="F55" i="8"/>
  <c r="F57" i="8" s="1"/>
  <c r="E55" i="8"/>
  <c r="E57" i="8" s="1"/>
  <c r="D55" i="8"/>
  <c r="D57" i="8" s="1"/>
  <c r="C57" i="8"/>
  <c r="G54" i="8"/>
  <c r="F52" i="8"/>
  <c r="F54" i="8" s="1"/>
  <c r="E52" i="8"/>
  <c r="E54" i="8" s="1"/>
  <c r="D52" i="8"/>
  <c r="D54" i="8" s="1"/>
  <c r="C52" i="8"/>
  <c r="C54" i="8" s="1"/>
  <c r="G50" i="8"/>
  <c r="F50" i="8"/>
  <c r="E48" i="8"/>
  <c r="E50" i="8" s="1"/>
  <c r="D48" i="8"/>
  <c r="D50" i="8" s="1"/>
  <c r="C50" i="8"/>
  <c r="G45" i="8"/>
  <c r="G47" i="8" s="1"/>
  <c r="F45" i="8"/>
  <c r="F47" i="8" s="1"/>
  <c r="E45" i="8"/>
  <c r="E47" i="8" s="1"/>
  <c r="D45" i="8"/>
  <c r="D47" i="8" s="1"/>
  <c r="C45" i="8"/>
  <c r="C47" i="8" s="1"/>
  <c r="G42" i="8"/>
  <c r="G44" i="8" s="1"/>
  <c r="F42" i="8"/>
  <c r="F44" i="8" s="1"/>
  <c r="E42" i="8"/>
  <c r="E44" i="8" s="1"/>
  <c r="D42" i="8"/>
  <c r="D44" i="8" s="1"/>
  <c r="C42" i="8"/>
  <c r="C44" i="8" s="1"/>
  <c r="C41" i="8"/>
  <c r="G41" i="8"/>
  <c r="F41" i="8"/>
  <c r="E39" i="8"/>
  <c r="E41" i="8" s="1"/>
  <c r="D39" i="8"/>
  <c r="D41" i="8" s="1"/>
  <c r="G37" i="8"/>
  <c r="E37" i="8"/>
  <c r="C37" i="8"/>
  <c r="G35" i="8"/>
  <c r="F35" i="8"/>
  <c r="F37" i="8" s="1"/>
  <c r="D35" i="8"/>
  <c r="D37" i="8" s="1"/>
  <c r="C35" i="8"/>
  <c r="G34" i="8"/>
  <c r="E34" i="8"/>
  <c r="C34" i="8"/>
  <c r="G32" i="8"/>
  <c r="F32" i="8"/>
  <c r="F34" i="8" s="1"/>
  <c r="E32" i="8"/>
  <c r="D32" i="8"/>
  <c r="D34" i="8" s="1"/>
  <c r="C32" i="8"/>
  <c r="G31" i="8"/>
  <c r="F31" i="8"/>
  <c r="D31" i="8"/>
  <c r="C31" i="8"/>
  <c r="F28" i="8"/>
  <c r="E28" i="8"/>
  <c r="D28" i="8"/>
  <c r="G28" i="8"/>
  <c r="F25" i="8"/>
  <c r="E25" i="8"/>
  <c r="D25" i="8"/>
  <c r="G25" i="8"/>
  <c r="G22" i="8"/>
  <c r="F22" i="8"/>
  <c r="D22" i="8"/>
  <c r="G18" i="8"/>
  <c r="E18" i="8"/>
  <c r="C18" i="8"/>
  <c r="F18" i="8"/>
  <c r="D18" i="8"/>
  <c r="G15" i="8"/>
  <c r="E15" i="8"/>
  <c r="C15" i="8"/>
  <c r="F15" i="8"/>
  <c r="D15" i="8"/>
  <c r="G12" i="8"/>
  <c r="E12" i="8"/>
  <c r="C12" i="8"/>
  <c r="F12" i="8"/>
  <c r="D12" i="8"/>
  <c r="G9" i="8"/>
  <c r="E9" i="8"/>
  <c r="C9" i="8"/>
  <c r="F9" i="8"/>
  <c r="D9" i="8"/>
  <c r="G6" i="8"/>
  <c r="E6" i="8"/>
  <c r="C6" i="8"/>
  <c r="G4" i="8"/>
  <c r="F6" i="8"/>
  <c r="G78" i="8" l="1"/>
  <c r="F78" i="8"/>
  <c r="C78" i="8"/>
  <c r="D78" i="8"/>
  <c r="E78" i="8"/>
  <c r="G15" i="7"/>
  <c r="G16" i="7" s="1"/>
  <c r="G19" i="7" s="1"/>
  <c r="F15" i="7"/>
  <c r="F16" i="7" s="1"/>
  <c r="F19" i="7" s="1"/>
  <c r="E15" i="7"/>
  <c r="E16" i="7" s="1"/>
  <c r="E19" i="7" s="1"/>
  <c r="D15" i="7"/>
  <c r="D16" i="7" s="1"/>
  <c r="D19" i="7" s="1"/>
  <c r="C15" i="7"/>
  <c r="C16" i="7" s="1"/>
  <c r="C19" i="7" l="1"/>
  <c r="C18" i="7"/>
  <c r="F16" i="6"/>
  <c r="F19" i="6" s="1"/>
  <c r="D16" i="6"/>
  <c r="D19" i="6" s="1"/>
  <c r="G15" i="6"/>
  <c r="G16" i="6" s="1"/>
  <c r="G19" i="6" s="1"/>
  <c r="F15" i="6"/>
  <c r="E15" i="6"/>
  <c r="E16" i="6" s="1"/>
  <c r="E19" i="6" s="1"/>
  <c r="D15" i="6"/>
  <c r="C15" i="6"/>
  <c r="C16" i="6" s="1"/>
  <c r="C19" i="6" l="1"/>
  <c r="C18" i="6"/>
  <c r="C18" i="5"/>
  <c r="F16" i="5"/>
  <c r="F19" i="5" s="1"/>
  <c r="D16" i="5"/>
  <c r="D19" i="5" s="1"/>
  <c r="G15" i="5"/>
  <c r="G16" i="5" s="1"/>
  <c r="G19" i="5" s="1"/>
  <c r="F15" i="5"/>
  <c r="E15" i="5"/>
  <c r="E16" i="5" s="1"/>
  <c r="E19" i="5" s="1"/>
  <c r="D15" i="5"/>
  <c r="C15" i="5"/>
  <c r="C16" i="5" s="1"/>
  <c r="C19" i="5" l="1"/>
  <c r="D75" i="1"/>
  <c r="E75" i="1"/>
  <c r="G23" i="1" l="1"/>
  <c r="G25" i="1" s="1"/>
  <c r="G26" i="1"/>
  <c r="F26" i="1"/>
  <c r="G10" i="1"/>
  <c r="G16" i="1"/>
  <c r="E16" i="1"/>
  <c r="C16" i="1"/>
  <c r="D16" i="1"/>
  <c r="F16" i="1"/>
  <c r="G28" i="1" l="1"/>
  <c r="G22" i="1"/>
  <c r="F18" i="1"/>
  <c r="D18" i="1"/>
  <c r="E18" i="1"/>
  <c r="C18" i="1"/>
  <c r="G18" i="1"/>
  <c r="G13" i="1"/>
  <c r="G15" i="1" s="1"/>
  <c r="F13" i="1"/>
  <c r="F15" i="1" s="1"/>
  <c r="G12" i="1"/>
  <c r="G7" i="1"/>
  <c r="G9" i="1" s="1"/>
  <c r="G4" i="1"/>
  <c r="G6" i="1" s="1"/>
  <c r="G75" i="1"/>
  <c r="G77" i="1" s="1"/>
  <c r="F75" i="1"/>
  <c r="F77" i="1" s="1"/>
  <c r="F72" i="1"/>
  <c r="F74" i="1" s="1"/>
  <c r="G72" i="1"/>
  <c r="G74" i="1" s="1"/>
  <c r="F68" i="1"/>
  <c r="F70" i="1" s="1"/>
  <c r="G68" i="1"/>
  <c r="G70" i="1" s="1"/>
  <c r="F65" i="1"/>
  <c r="F67" i="1" s="1"/>
  <c r="G65" i="1"/>
  <c r="G67" i="1" s="1"/>
  <c r="F61" i="1"/>
  <c r="F63" i="1" s="1"/>
  <c r="G61" i="1"/>
  <c r="G63" i="1" s="1"/>
  <c r="F58" i="1"/>
  <c r="F60" i="1" s="1"/>
  <c r="G58" i="1"/>
  <c r="G60" i="1" s="1"/>
  <c r="F55" i="1"/>
  <c r="F57" i="1" s="1"/>
  <c r="G55" i="1"/>
  <c r="G57" i="1" s="1"/>
  <c r="G52" i="1"/>
  <c r="G54" i="1" s="1"/>
  <c r="F52" i="1"/>
  <c r="F54" i="1" s="1"/>
  <c r="F48" i="1"/>
  <c r="F50" i="1" s="1"/>
  <c r="G48" i="1"/>
  <c r="G50" i="1" s="1"/>
  <c r="F45" i="1"/>
  <c r="F47" i="1" s="1"/>
  <c r="G45" i="1"/>
  <c r="G47" i="1" s="1"/>
  <c r="F42" i="1"/>
  <c r="F44" i="1" s="1"/>
  <c r="G42" i="1"/>
  <c r="G44" i="1" s="1"/>
  <c r="F39" i="1"/>
  <c r="F41" i="1" s="1"/>
  <c r="G39" i="1"/>
  <c r="G41" i="1" s="1"/>
  <c r="F35" i="1"/>
  <c r="F37" i="1" s="1"/>
  <c r="G35" i="1"/>
  <c r="G37" i="1" s="1"/>
  <c r="F32" i="1"/>
  <c r="F34" i="1" s="1"/>
  <c r="G32" i="1"/>
  <c r="G34" i="1" s="1"/>
  <c r="F28" i="1"/>
  <c r="F22" i="1"/>
  <c r="D10" i="1"/>
  <c r="E10" i="1"/>
  <c r="F10" i="1"/>
  <c r="F12" i="1" s="1"/>
  <c r="F7" i="1"/>
  <c r="F9" i="1" s="1"/>
  <c r="E7" i="1"/>
  <c r="D7" i="1"/>
  <c r="F4" i="1"/>
  <c r="E4" i="1"/>
  <c r="F6" i="1"/>
  <c r="E6" i="1"/>
  <c r="E77" i="1"/>
  <c r="D77" i="1"/>
  <c r="D72" i="1"/>
  <c r="D74" i="1" s="1"/>
  <c r="E72" i="1"/>
  <c r="E74" i="1" s="1"/>
  <c r="D68" i="1"/>
  <c r="D70" i="1" s="1"/>
  <c r="E68" i="1"/>
  <c r="E70" i="1" s="1"/>
  <c r="D65" i="1"/>
  <c r="D67" i="1" s="1"/>
  <c r="E65" i="1"/>
  <c r="E67" i="1" s="1"/>
  <c r="D61" i="1"/>
  <c r="D63" i="1" s="1"/>
  <c r="E61" i="1"/>
  <c r="E63" i="1" s="1"/>
  <c r="D58" i="1"/>
  <c r="D60" i="1" s="1"/>
  <c r="E58" i="1"/>
  <c r="E60" i="1" s="1"/>
  <c r="D55" i="1"/>
  <c r="D57" i="1" s="1"/>
  <c r="E55" i="1"/>
  <c r="E57" i="1" s="1"/>
  <c r="D52" i="1"/>
  <c r="D54" i="1" s="1"/>
  <c r="E52" i="1"/>
  <c r="E54" i="1" s="1"/>
  <c r="D48" i="1"/>
  <c r="D50" i="1" s="1"/>
  <c r="E48" i="1"/>
  <c r="E50" i="1" s="1"/>
  <c r="D45" i="1"/>
  <c r="D47" i="1" s="1"/>
  <c r="E45" i="1"/>
  <c r="E47" i="1" s="1"/>
  <c r="D42" i="1"/>
  <c r="D44" i="1" s="1"/>
  <c r="E42" i="1"/>
  <c r="E44" i="1" s="1"/>
  <c r="D39" i="1"/>
  <c r="D41" i="1" s="1"/>
  <c r="E39" i="1"/>
  <c r="E41" i="1" s="1"/>
  <c r="D35" i="1"/>
  <c r="E35" i="1"/>
  <c r="E37" i="1" s="1"/>
  <c r="D37" i="1"/>
  <c r="D32" i="1"/>
  <c r="D34" i="1" s="1"/>
  <c r="E32" i="1"/>
  <c r="E34" i="1" s="1"/>
  <c r="E31" i="1" l="1"/>
  <c r="F31" i="1"/>
  <c r="G31" i="1"/>
  <c r="D31" i="1"/>
  <c r="E28" i="1"/>
  <c r="D28" i="1"/>
  <c r="F25" i="1"/>
  <c r="D25" i="1"/>
  <c r="E25" i="1"/>
  <c r="E22" i="1"/>
  <c r="D22" i="1"/>
  <c r="E15" i="1"/>
  <c r="E13" i="1"/>
  <c r="D13" i="1"/>
  <c r="D15" i="1" s="1"/>
  <c r="C13" i="1"/>
  <c r="C15" i="1" s="1"/>
  <c r="E12" i="1"/>
  <c r="D12" i="1"/>
  <c r="E9" i="1"/>
  <c r="D9" i="1"/>
  <c r="D6" i="1"/>
  <c r="D4" i="1"/>
  <c r="C77" i="1"/>
  <c r="C75" i="1"/>
  <c r="C74" i="1"/>
  <c r="C72" i="1"/>
  <c r="C68" i="1"/>
  <c r="C70" i="1" s="1"/>
  <c r="C65" i="1"/>
  <c r="C67" i="1" s="1"/>
  <c r="C61" i="1"/>
  <c r="C63" i="1" s="1"/>
  <c r="C58" i="1"/>
  <c r="C60" i="1" s="1"/>
  <c r="C55" i="1"/>
  <c r="C57" i="1" s="1"/>
  <c r="C52" i="1"/>
  <c r="C54" i="1" s="1"/>
  <c r="C48" i="1"/>
  <c r="C50" i="1" s="1"/>
  <c r="C45" i="1"/>
  <c r="C47" i="1" s="1"/>
  <c r="C42" i="1"/>
  <c r="C44" i="1" s="1"/>
  <c r="C39" i="1"/>
  <c r="C41" i="1" s="1"/>
  <c r="C35" i="1"/>
  <c r="C37" i="1" s="1"/>
  <c r="C32" i="1"/>
  <c r="C34" i="1" s="1"/>
  <c r="C31" i="1"/>
  <c r="C28" i="1"/>
  <c r="C25" i="1"/>
  <c r="C22" i="1"/>
  <c r="C26" i="1"/>
  <c r="C10" i="1"/>
  <c r="C12" i="1" s="1"/>
  <c r="C7" i="1"/>
  <c r="C9" i="1" s="1"/>
  <c r="C4" i="1"/>
  <c r="C6" i="1" s="1"/>
  <c r="G15" i="4" l="1"/>
  <c r="G16" i="4" s="1"/>
  <c r="G19" i="4" s="1"/>
  <c r="F15" i="4"/>
  <c r="F16" i="4" s="1"/>
  <c r="F19" i="4" s="1"/>
  <c r="E15" i="4"/>
  <c r="E16" i="4" s="1"/>
  <c r="E19" i="4" s="1"/>
  <c r="D15" i="4"/>
  <c r="D16" i="4" s="1"/>
  <c r="D19" i="4" s="1"/>
  <c r="C15" i="4"/>
  <c r="C16" i="4" s="1"/>
  <c r="C19" i="4" l="1"/>
  <c r="C18" i="4"/>
  <c r="D78" i="1" l="1"/>
  <c r="E78" i="1"/>
  <c r="F78" i="1"/>
  <c r="G78" i="1"/>
  <c r="C78" i="1"/>
</calcChain>
</file>

<file path=xl/sharedStrings.xml><?xml version="1.0" encoding="utf-8"?>
<sst xmlns="http://schemas.openxmlformats.org/spreadsheetml/2006/main" count="753" uniqueCount="198">
  <si>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</si>
  <si>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</si>
  <si>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</si>
  <si>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</si>
  <si>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</si>
  <si>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</si>
  <si>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</si>
  <si>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2015 г.
</t>
  </si>
  <si>
    <t>Расчет показателя, дата представления отчета</t>
  </si>
  <si>
    <t>Расчет показателя, к.р.-кассов. Расход, кв-квартал</t>
  </si>
  <si>
    <t>160581,4-98048=62533,4(к.р.IVкв.)98048/3=32682,7-к.р.в сред.за I-IIIкв</t>
  </si>
  <si>
    <t>8344,2-5509,2=2835(к.р.IVкв.) 5509,2/3=1834,4-к.р.в сред.за I-IIIкв.</t>
  </si>
  <si>
    <t>12019,9-8718,7=3301,2(к.р.IVкв.) 8718,7/3=2906,2-к.р.в сред.за I-IIIкв.</t>
  </si>
  <si>
    <t>83995,8-57242,7=26753,1(к.р.IVкв.) 57242,7/3=19080,9-к.р.в сред.за I-IIIкв.</t>
  </si>
  <si>
    <t>83591,8-59120,1=24471,7(к.р.IVкв.) 59120,1/3=19706,7-к.р.в сред.за I-IIIкв.</t>
  </si>
  <si>
    <t>не рассчитывается (нет подвед-х казенных учрежд)</t>
  </si>
  <si>
    <t>не рассчитывается (нет подвед-х бюдж. учрежд)</t>
  </si>
  <si>
    <t>100*(1723,8/1723,8)=100</t>
  </si>
  <si>
    <t>100*(82300,8/82300,8)=100</t>
  </si>
  <si>
    <t>100*(360357,8/425075,2)=84,7</t>
  </si>
  <si>
    <t>100*(64717,4/425075,2)=15,3</t>
  </si>
  <si>
    <t>колич-во изменений составл. более 10</t>
  </si>
  <si>
    <t>,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</si>
  <si>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0503160_т5, аs06МО квартал</t>
    </r>
  </si>
  <si>
    <t>Расчет показателя, формы 0503160_т6</t>
  </si>
  <si>
    <t>Расчет показателя, 0503160_т6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</si>
  <si>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</si>
  <si>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</si>
  <si>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</si>
  <si>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</si>
  <si>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</si>
  <si>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</si>
  <si>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</si>
  <si>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</si>
  <si>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  <r>
      <rPr>
        <sz val="12"/>
        <color rgb="FFFF0000"/>
        <rFont val="Times New Roman"/>
        <family val="1"/>
        <charset val="204"/>
      </rPr>
      <t>срок 02.02.16г</t>
    </r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</si>
  <si>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</si>
  <si>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</si>
  <si>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</si>
  <si>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</si>
  <si>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</si>
  <si>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</si>
  <si>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</si>
  <si>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</si>
  <si>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</si>
  <si>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</si>
  <si>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</si>
  <si>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</si>
  <si>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</si>
  <si>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</si>
  <si>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</si>
  <si>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</si>
  <si>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</si>
  <si>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</si>
  <si>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</si>
  <si>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</si>
  <si>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</si>
  <si>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1-4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</si>
  <si>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</si>
  <si>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</si>
  <si>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</si>
  <si>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</si>
  <si>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</si>
  <si>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КВАРТАЛ 2016 ГОДА
</t>
  </si>
  <si>
    <t>просроченная  кредиторская задолженность отсутствует</t>
  </si>
  <si>
    <t>просроченная дебиторская  задолженность отсутствует</t>
  </si>
  <si>
    <t>100*145581,2/183508,9=79,3</t>
  </si>
  <si>
    <t>100*2358/183508,9=1,3</t>
  </si>
  <si>
    <t>Р=0</t>
  </si>
  <si>
    <t>просроченная кредиторская задолж-ть отсутств.=1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</si>
  <si>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</si>
  <si>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</si>
  <si>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</si>
  <si>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</si>
  <si>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</si>
  <si>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</si>
  <si>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</si>
  <si>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</si>
  <si>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</si>
  <si>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</si>
  <si>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</si>
  <si>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100*62,4/12050,3=0,52</t>
  </si>
  <si>
    <t>муниципальные задания не формируются, =0%</t>
  </si>
  <si>
    <t>подвед-х учреждений нет,=0</t>
  </si>
  <si>
    <t xml:space="preserve"> Р=0</t>
  </si>
  <si>
    <t>просроченная кредиторская задолж-ть отсутств. =1</t>
  </si>
  <si>
    <t>выявлено 4 нарушения по итогам внутреннего финансового контроля =1</t>
  </si>
  <si>
    <t xml:space="preserve"> выявлено 2 нарушения по итогам внутреннего финансового контроля =1</t>
  </si>
  <si>
    <t xml:space="preserve">  выявлено 2 нарушения по итогам  внутреннего финансового контроля =1</t>
  </si>
  <si>
    <t>подведомственных учреждений нет = 0</t>
  </si>
  <si>
    <t>подведомственных учреждений нет =0</t>
  </si>
  <si>
    <t>исковые требования не поступали=1</t>
  </si>
  <si>
    <t>100*7844,4/8344,4=94,0</t>
  </si>
  <si>
    <t>100*85878,6/87157,0=98,5</t>
  </si>
  <si>
    <t>100*73895,2/87157=84,8</t>
  </si>
  <si>
    <t>100*(76723,8/81485,8)=94,2</t>
  </si>
  <si>
    <t>03.02.2016   Р=0,5</t>
  </si>
  <si>
    <t>13,01.16   Р=1</t>
  </si>
  <si>
    <t>168572,2/172165,1=97,9</t>
  </si>
  <si>
    <t>100*(24471,7-19706,7)/19706,7=24,2     Р=1*20=20</t>
  </si>
  <si>
    <t>внутренний контроль не проводился = 0</t>
  </si>
  <si>
    <t>исковые требования исполнены в полном объеме=1</t>
  </si>
  <si>
    <t>система электронного документооборота имеется = 1</t>
  </si>
  <si>
    <t>100*588752,7/589361,9=99,9</t>
  </si>
  <si>
    <t>100*439293,8/589361,9=74,6</t>
  </si>
  <si>
    <t>25.01.2016  Р=1</t>
  </si>
  <si>
    <t>не представлялся   Р=0</t>
  </si>
  <si>
    <t>17308,0/19437,0=89,0</t>
  </si>
  <si>
    <t>52611,7/53560=98,3</t>
  </si>
  <si>
    <t>6936/7249=95,7</t>
  </si>
  <si>
    <t>100*(26753,1-19080,9)/19080,9=40,2  Р=1*20</t>
  </si>
  <si>
    <t>100*(3301,2-2906,2)/2906,2=13,6    Р=1*20</t>
  </si>
  <si>
    <t>100*(2835-1834,4)/1834,4=54,6, Р=0,5*20=10</t>
  </si>
  <si>
    <t>100*(62533,4-32682,7)/32682,7=91,4   Р=0,5*20=10</t>
  </si>
  <si>
    <t>462494,3/462532=100</t>
  </si>
  <si>
    <t>100*(428855,8/432116,8)=99,2</t>
  </si>
  <si>
    <t>качество финансового менеджмента главного распорядителя удовлетворительный</t>
  </si>
  <si>
    <t>Заместитель главы Администрации по финансовым вопросам</t>
  </si>
  <si>
    <t>начальник Управления финансов</t>
  </si>
  <si>
    <t>Р.Р. Минагулова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</si>
  <si>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</si>
  <si>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</si>
  <si>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</si>
  <si>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</si>
  <si>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</si>
  <si>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</si>
  <si>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</si>
  <si>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КВАРТАЛ 2016 ГОДА
</t>
  </si>
  <si>
    <t>Уровень качества ф  высокий</t>
  </si>
  <si>
    <t>более10</t>
  </si>
  <si>
    <t>Зам.главы Администрации по финансовым вопросам- начальник управления финансов</t>
  </si>
  <si>
    <t>Л.Н.Михайлова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</si>
  <si>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КВАРТАЛ 2016 ГОДА
</t>
  </si>
  <si>
    <t>более 10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</si>
  <si>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КВАРТАЛ 2016 ГОДА
</t>
  </si>
  <si>
    <t>1-3</t>
  </si>
  <si>
    <t>4-5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</si>
  <si>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2016 г.
</t>
  </si>
  <si>
    <t>100*44,6/9647,2=0,5</t>
  </si>
  <si>
    <t>100*131066,9/142172,1=92,2</t>
  </si>
  <si>
    <t>100*80324,9/82720,9=97,1</t>
  </si>
  <si>
    <t>100*600991,3/601229,7=99,9</t>
  </si>
  <si>
    <t>72102,4-44649,6=27452,8(к.р.IVкв.) 44649,6/3=14883,2-к.р.в сред.за I-IIIкв.</t>
  </si>
  <si>
    <t>100*(27452,8-14883,2)/14883,2=84,4  Р=0,5*20=10</t>
  </si>
  <si>
    <t>9624,0-6986,5=2637,5(к.р.IVкв.) 6986,5/3=2328,8-к.р.в сред.за I-IIIкв.</t>
  </si>
  <si>
    <t>100*(2637,5-2328,8)/2328,8=13,3    Р=1*20</t>
  </si>
  <si>
    <t>7721,1-5377,8=2343,3(к.р.IVкв.) 5377,8/3=1792,6-к.р.в сред.за I-IIIкв.</t>
  </si>
  <si>
    <t>100*(2343,3-1792,6)/1792,6=30,7, Р=1*20=20</t>
  </si>
  <si>
    <t>81084-55346,6=25737,4(к.р.IVкв.) 55346,6/3=18448,9-к.р.в сред.за I-IIIкв.</t>
  </si>
  <si>
    <t>100*(25737,4-18448,9)/18448,9=39,5     Р=1*20=20</t>
  </si>
  <si>
    <t>158390,2-98660,1=59730,1(к.р.IVкв.)98660,1/3=32886,7-к.р.в сред.за I-IIIкв</t>
  </si>
  <si>
    <t>100*(59730,1-32886,7)/32886,7=81,6   Р=0,5*20=10</t>
  </si>
  <si>
    <t>100*(1882,3/72102,4)=2,6</t>
  </si>
  <si>
    <t>100*(2174,7/144130,7)=1,5</t>
  </si>
  <si>
    <t>100*(3931,8/4269,0)=92,1</t>
  </si>
  <si>
    <t>100*(107776,4/107917,4)=99,7</t>
  </si>
  <si>
    <t>колич-во изменений составл. менее 10</t>
  </si>
  <si>
    <t>Р=0,5</t>
  </si>
  <si>
    <t>100*73667,3/82720,9=89,1</t>
  </si>
  <si>
    <t>100*474782,2/601229,7=79,0</t>
  </si>
  <si>
    <t>100*4332,5/142172,1=3,05</t>
  </si>
  <si>
    <t>100*(72959,6/75193,8)=97,0</t>
  </si>
  <si>
    <t>100*(474782,2/474782,2)=100</t>
  </si>
  <si>
    <t>600939,3/601229,7=99,9</t>
  </si>
  <si>
    <t>82159,6/82720,9=99,3</t>
  </si>
  <si>
    <t>7039,4/7039,4=100</t>
  </si>
  <si>
    <t>141888,3/142172,1=99,8</t>
  </si>
  <si>
    <t>годовая бюджетная отчетность представлена с нарушением сроков =0,8</t>
  </si>
  <si>
    <t>проведено 18 мероприятий по внутреннему финансовому контролю =1</t>
  </si>
  <si>
    <t>проведено 4 мероприятия по внутреннему финансовому контролю =1</t>
  </si>
  <si>
    <t>проведено 7 мероприятий по внутреннему финансовому контролю =1</t>
  </si>
  <si>
    <t>подведомственные учреждения проверялись =1</t>
  </si>
  <si>
    <t>Расчет показателя, 0503160G_т6</t>
  </si>
  <si>
    <t>Расчет показателя, форма отчета  0503160G_т6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</si>
  <si>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0503160_т5(табл.2), аs06МО квартал(стр.2802)</t>
    </r>
  </si>
  <si>
    <t>9647,2/9647,2=100,0</t>
  </si>
  <si>
    <t>количество дней отклонения от даты представления отчета нет    Р=1</t>
  </si>
  <si>
    <t>100*7039,4/7039,4=100</t>
  </si>
  <si>
    <t>Отчет предоставлен с нарушением сроков =0,5</t>
  </si>
  <si>
    <t>Отчет предоставлен с корректировками  =0,5</t>
  </si>
  <si>
    <t>муниципальные задания не формируются, =100%,   аб.2 п.9 приказа №58</t>
  </si>
  <si>
    <r>
      <t xml:space="preserve">муниципальные задания не формируются, =100%,   </t>
    </r>
    <r>
      <rPr>
        <sz val="10"/>
        <color theme="1"/>
        <rFont val="Calibri"/>
        <family val="2"/>
        <charset val="204"/>
        <scheme val="minor"/>
      </rPr>
      <t>аб.2 п.9 приказа №58</t>
    </r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</si>
  <si>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</si>
  <si>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количество дней отклонения от даты представления отчета более 5 дней   Р=0</t>
  </si>
  <si>
    <t>количество дней отклонения от даты представления отчета нет   Р=1</t>
  </si>
  <si>
    <r>
      <t xml:space="preserve">100*(73667,3/75193,8)=98,0 </t>
    </r>
    <r>
      <rPr>
        <sz val="10"/>
        <color theme="1"/>
        <rFont val="Calibri"/>
        <family val="2"/>
        <charset val="204"/>
        <scheme val="minor"/>
      </rPr>
      <t xml:space="preserve"> 98*1,1%=107,8 (примечание к расч.)</t>
    </r>
  </si>
  <si>
    <t>С.А. Кузнецов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</si>
  <si>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 КВАРТАЛ 2017 ГОДА
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</si>
  <si>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 КВАРТАЛ 2017 ГОДА
</t>
  </si>
  <si>
    <t>Р=100*(600000,00-0,00)/(0,00)</t>
  </si>
  <si>
    <t>1</t>
  </si>
  <si>
    <t>2-4</t>
  </si>
  <si>
    <t>5</t>
  </si>
  <si>
    <t>Уровень качества высокий</t>
  </si>
  <si>
    <t xml:space="preserve">Уровень качества 
низкий
</t>
  </si>
  <si>
    <t>Зам.начальника Управления финансов - начальник отдела</t>
  </si>
  <si>
    <t>Г.И. Иванова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</si>
  <si>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 КВАРТАЛ 2017 ГОДА
</t>
  </si>
  <si>
    <t>Р=100*(400401,65-600000,00)/(600000,00)=-33,3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</si>
</sst>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9" fillId="0" borderId="0" xfId="0" applyFont="1"/>
    <xf numFmtId="0" fontId="8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/>
    <xf numFmtId="0" fontId="8" fillId="0" borderId="6" xfId="0" applyFont="1" applyBorder="1" applyAlignment="1">
      <alignment horizontal="justify" vertical="center" wrapText="1"/>
    </xf>
    <xf numFmtId="0" fontId="8" fillId="0" borderId="1" xfId="0" applyFont="1" applyBorder="1" applyAlignment="1">
      <alignment wrapText="1"/>
    </xf>
    <xf numFmtId="0" fontId="12" fillId="0" borderId="1" xfId="0" applyFont="1" applyBorder="1"/>
    <xf numFmtId="0" fontId="10" fillId="0" borderId="1" xfId="0" applyFont="1" applyBorder="1" applyAlignment="1">
      <alignment horizontal="center" vertical="center"/>
    </xf>
    <xf numFmtId="0" fontId="9" fillId="0" borderId="0" xfId="0" applyFont="1" applyBorder="1"/>
    <xf numFmtId="0" fontId="13" fillId="0" borderId="0" xfId="0" applyFont="1"/>
    <xf numFmtId="0" fontId="13" fillId="0" borderId="1" xfId="0" applyFont="1" applyBorder="1"/>
    <xf numFmtId="0" fontId="10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/>
    <xf numFmtId="2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9" xfId="0" applyFont="1" applyBorder="1"/>
    <xf numFmtId="0" fontId="12" fillId="0" borderId="7" xfId="0" applyFont="1" applyBorder="1"/>
    <xf numFmtId="0" fontId="12" fillId="0" borderId="10" xfId="0" applyFont="1" applyBorder="1"/>
    <xf numFmtId="0" fontId="12" fillId="0" borderId="8" xfId="0" applyFont="1" applyBorder="1"/>
    <xf numFmtId="0" fontId="12" fillId="0" borderId="11" xfId="0" applyFont="1" applyBorder="1"/>
    <xf numFmtId="14" fontId="12" fillId="0" borderId="1" xfId="0" applyNumberFormat="1" applyFont="1" applyBorder="1"/>
    <xf numFmtId="14" fontId="12" fillId="0" borderId="10" xfId="0" applyNumberFormat="1" applyFont="1" applyBorder="1"/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8" fillId="0" borderId="12" xfId="0" applyFont="1" applyBorder="1" applyAlignment="1">
      <alignment horizontal="justify" vertical="center" wrapText="1"/>
    </xf>
    <xf numFmtId="0" fontId="0" fillId="0" borderId="1" xfId="0" applyBorder="1"/>
    <xf numFmtId="0" fontId="8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0" fillId="0" borderId="1" xfId="0" applyFont="1" applyBorder="1"/>
    <xf numFmtId="0" fontId="10" fillId="0" borderId="1" xfId="0" applyFont="1" applyBorder="1" applyAlignment="1">
      <alignment wrapText="1"/>
    </xf>
    <xf numFmtId="0" fontId="21" fillId="0" borderId="1" xfId="0" applyFont="1" applyBorder="1"/>
    <xf numFmtId="49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/>
    <xf numFmtId="0" fontId="23" fillId="0" borderId="10" xfId="0" applyFont="1" applyBorder="1"/>
    <xf numFmtId="0" fontId="23" fillId="0" borderId="1" xfId="0" applyFont="1" applyBorder="1"/>
    <xf numFmtId="0" fontId="24" fillId="0" borderId="1" xfId="0" applyFont="1" applyBorder="1"/>
    <xf numFmtId="0" fontId="24" fillId="2" borderId="1" xfId="0" applyFont="1" applyFill="1" applyBorder="1"/>
    <xf numFmtId="1" fontId="24" fillId="0" borderId="10" xfId="0" applyNumberFormat="1" applyFont="1" applyBorder="1"/>
    <xf numFmtId="0" fontId="25" fillId="0" borderId="1" xfId="0" applyFont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6" fillId="0" borderId="1" xfId="0" applyFont="1" applyBorder="1"/>
    <xf numFmtId="0" fontId="27" fillId="0" borderId="1" xfId="0" applyFont="1" applyBorder="1"/>
    <xf numFmtId="2" fontId="12" fillId="0" borderId="10" xfId="0" applyNumberFormat="1" applyFont="1" applyBorder="1"/>
    <xf numFmtId="0" fontId="12" fillId="2" borderId="10" xfId="0" applyFont="1" applyFill="1" applyBorder="1"/>
    <xf numFmtId="0" fontId="12" fillId="2" borderId="1" xfId="0" applyFont="1" applyFill="1" applyBorder="1"/>
    <xf numFmtId="0" fontId="12" fillId="2" borderId="7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8" fillId="2" borderId="1" xfId="0" applyFont="1" applyFill="1" applyBorder="1" applyAlignment="1">
      <alignment horizontal="justify" vertical="center"/>
    </xf>
    <xf numFmtId="2" fontId="12" fillId="2" borderId="1" xfId="0" applyNumberFormat="1" applyFont="1" applyFill="1" applyBorder="1"/>
    <xf numFmtId="0" fontId="28" fillId="0" borderId="1" xfId="0" applyFont="1" applyBorder="1"/>
    <xf numFmtId="0" fontId="0" fillId="0" borderId="1" xfId="0" applyBorder="1" applyAlignment="1">
      <alignment wrapText="1"/>
    </xf>
    <xf numFmtId="0" fontId="24" fillId="2" borderId="10" xfId="0" applyFont="1" applyFill="1" applyBorder="1"/>
    <xf numFmtId="0" fontId="23" fillId="2" borderId="1" xfId="0" applyFont="1" applyFill="1" applyBorder="1"/>
    <xf numFmtId="0" fontId="29" fillId="0" borderId="0" xfId="0" applyFont="1"/>
    <xf numFmtId="0" fontId="3" fillId="0" borderId="1" xfId="0" applyFont="1" applyBorder="1"/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2" fillId="2" borderId="9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13" fillId="0" borderId="1" xfId="0" applyFont="1" applyBorder="1" applyAlignment="1">
      <alignment vertical="center" wrapText="1"/>
    </xf>
    <xf numFmtId="14" fontId="12" fillId="0" borderId="10" xfId="0" applyNumberFormat="1" applyFont="1" applyBorder="1" applyAlignment="1">
      <alignment wrapText="1"/>
    </xf>
    <xf numFmtId="14" fontId="12" fillId="0" borderId="1" xfId="0" applyNumberFormat="1" applyFont="1" applyBorder="1" applyAlignment="1">
      <alignment wrapText="1"/>
    </xf>
    <xf numFmtId="0" fontId="1" fillId="0" borderId="1" xfId="0" applyFont="1" applyBorder="1"/>
    <xf numFmtId="0" fontId="27" fillId="0" borderId="1" xfId="0" applyFont="1" applyBorder="1" applyAlignment="1">
      <alignment wrapText="1"/>
    </xf>
    <xf numFmtId="2" fontId="28" fillId="0" borderId="1" xfId="0" applyNumberFormat="1" applyFont="1" applyBorder="1"/>
    <xf numFmtId="2" fontId="12" fillId="2" borderId="10" xfId="0" applyNumberFormat="1" applyFont="1" applyFill="1" applyBorder="1"/>
    <xf numFmtId="0" fontId="12" fillId="2" borderId="7" xfId="0" applyFont="1" applyFill="1" applyBorder="1"/>
    <xf numFmtId="2" fontId="12" fillId="2" borderId="7" xfId="0" applyNumberFormat="1" applyFont="1" applyFill="1" applyBorder="1"/>
    <xf numFmtId="0" fontId="13" fillId="2" borderId="1" xfId="0" applyFont="1" applyFill="1" applyBorder="1"/>
    <xf numFmtId="0" fontId="8" fillId="2" borderId="6" xfId="0" applyFont="1" applyFill="1" applyBorder="1" applyAlignment="1">
      <alignment horizontal="justify" vertical="center" wrapText="1"/>
    </xf>
    <xf numFmtId="0" fontId="12" fillId="2" borderId="8" xfId="0" applyFont="1" applyFill="1" applyBorder="1"/>
    <xf numFmtId="0" fontId="12" fillId="2" borderId="8" xfId="0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2" fillId="2" borderId="11" xfId="0" applyFont="1" applyFill="1" applyBorder="1"/>
    <xf numFmtId="0" fontId="8" fillId="2" borderId="0" xfId="0" applyFont="1" applyFill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23" fillId="2" borderId="10" xfId="0" applyFont="1" applyFill="1" applyBorder="1"/>
    <xf numFmtId="1" fontId="24" fillId="2" borderId="10" xfId="0" applyNumberFormat="1" applyFont="1" applyFill="1" applyBorder="1"/>
    <xf numFmtId="0" fontId="14" fillId="2" borderId="1" xfId="0" applyFont="1" applyFill="1" applyBorder="1"/>
    <xf numFmtId="0" fontId="25" fillId="2" borderId="1" xfId="0" applyFont="1" applyFill="1" applyBorder="1"/>
    <xf numFmtId="0" fontId="23" fillId="2" borderId="10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4" fontId="24" fillId="2" borderId="1" xfId="0" applyNumberFormat="1" applyFont="1" applyFill="1" applyBorder="1" applyAlignment="1">
      <alignment wrapText="1" shrinkToFit="1"/>
    </xf>
    <xf numFmtId="0" fontId="11" fillId="2" borderId="1" xfId="0" applyFont="1" applyFill="1" applyBorder="1" applyAlignment="1">
      <alignment vertical="center" wrapText="1"/>
    </xf>
    <xf numFmtId="0" fontId="9" fillId="2" borderId="0" xfId="0" applyFont="1" applyFill="1"/>
    <xf numFmtId="0" fontId="0" fillId="2" borderId="0" xfId="0" applyFill="1"/>
    <xf numFmtId="0" fontId="8" fillId="2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/>
    <xf numFmtId="0" fontId="12" fillId="0" borderId="14" xfId="0" applyFont="1" applyBorder="1" applyAlignment="1"/>
    <xf numFmtId="0" fontId="12" fillId="0" borderId="10" xfId="0" applyFont="1" applyBorder="1" applyAlignment="1"/>
    <xf numFmtId="0" fontId="12" fillId="2" borderId="14" xfId="0" applyFont="1" applyFill="1" applyBorder="1" applyAlignment="1"/>
    <xf numFmtId="0" fontId="12" fillId="2" borderId="1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B1" zoomScale="85" zoomScaleNormal="85" workbookViewId="0">
      <pane ySplit="2" topLeftCell="A23" activePane="bottomLeft" state="frozen"/>
      <selection pane="bottomLeft" activeCell="G17" sqref="G17"/>
    </sheetView>
  </sheetViews>
  <sheetFormatPr defaultRowHeight="15" x14ac:dyDescent="0.25"/>
  <cols>
    <col min="1" max="1" width="1.5703125" customWidth="1"/>
    <col min="2" max="2" width="60.5703125" customWidth="1"/>
    <col min="3" max="3" width="26.42578125" customWidth="1"/>
    <col min="4" max="7" width="23.140625" customWidth="1"/>
  </cols>
  <sheetData>
    <row r="1" spans="2:8" ht="61.5" customHeight="1" x14ac:dyDescent="0.25">
      <c r="B1" s="109" t="s">
        <v>7</v>
      </c>
      <c r="C1" s="109"/>
      <c r="D1" s="109"/>
      <c r="E1" s="109"/>
      <c r="F1" s="109"/>
      <c r="G1" s="109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110" t="s">
        <v>120</v>
      </c>
      <c r="C3" s="110"/>
      <c r="D3" s="110"/>
      <c r="E3" s="110"/>
      <c r="F3" s="110"/>
      <c r="G3" s="110"/>
      <c r="H3" s="1"/>
    </row>
    <row r="4" spans="2:8" ht="31.5" x14ac:dyDescent="0.3">
      <c r="B4" s="2" t="s">
        <v>31</v>
      </c>
      <c r="C4" s="8">
        <f>20*79.3/100</f>
        <v>15.86</v>
      </c>
      <c r="D4" s="16">
        <f>20*0.52/100</f>
        <v>0.10400000000000001</v>
      </c>
      <c r="E4" s="16">
        <f>20*94/100</f>
        <v>18.8</v>
      </c>
      <c r="F4" s="16">
        <f>20*98.5/100</f>
        <v>19.7</v>
      </c>
      <c r="G4" s="16">
        <f>20*99.9/100</f>
        <v>19.98</v>
      </c>
      <c r="H4" s="1"/>
    </row>
    <row r="5" spans="2:8" ht="18.75" x14ac:dyDescent="0.3">
      <c r="B5" s="11" t="s">
        <v>6</v>
      </c>
      <c r="C5" s="55" t="s">
        <v>65</v>
      </c>
      <c r="D5" s="55" t="s">
        <v>80</v>
      </c>
      <c r="E5" s="63" t="s">
        <v>91</v>
      </c>
      <c r="F5" s="63" t="s">
        <v>92</v>
      </c>
      <c r="G5" s="63" t="s">
        <v>102</v>
      </c>
      <c r="H5" s="1"/>
    </row>
    <row r="6" spans="2:8" ht="18.75" x14ac:dyDescent="0.3">
      <c r="B6" s="12" t="s">
        <v>119</v>
      </c>
      <c r="C6" s="16">
        <f>25*C4/100</f>
        <v>3.9649999999999999</v>
      </c>
      <c r="D6" s="16">
        <f>25*D4/100</f>
        <v>2.6000000000000002E-2</v>
      </c>
      <c r="E6" s="16">
        <f>25*E4/100</f>
        <v>4.7</v>
      </c>
      <c r="F6" s="16">
        <f>25*F4/100</f>
        <v>4.9249999999999998</v>
      </c>
      <c r="G6" s="16">
        <f>25*G4/100</f>
        <v>4.9950000000000001</v>
      </c>
      <c r="H6" s="1"/>
    </row>
    <row r="7" spans="2:8" ht="63" x14ac:dyDescent="0.3">
      <c r="B7" s="2" t="s">
        <v>32</v>
      </c>
      <c r="C7" s="8">
        <f>20*1.3/100</f>
        <v>0.26</v>
      </c>
      <c r="D7" s="17">
        <f>20*0%/100</f>
        <v>0</v>
      </c>
      <c r="E7" s="17">
        <f>20*0%/100</f>
        <v>0</v>
      </c>
      <c r="F7" s="8">
        <f>20*84.8/100</f>
        <v>16.96</v>
      </c>
      <c r="G7" s="8">
        <f>20*74.6/100</f>
        <v>14.92</v>
      </c>
      <c r="H7" s="1"/>
    </row>
    <row r="8" spans="2:8" ht="48" x14ac:dyDescent="0.3">
      <c r="B8" s="11" t="s">
        <v>6</v>
      </c>
      <c r="C8" s="8" t="s">
        <v>66</v>
      </c>
      <c r="D8" s="17" t="s">
        <v>81</v>
      </c>
      <c r="E8" s="17" t="s">
        <v>81</v>
      </c>
      <c r="F8" s="8" t="s">
        <v>93</v>
      </c>
      <c r="G8" s="63" t="s">
        <v>103</v>
      </c>
      <c r="H8" s="1"/>
    </row>
    <row r="9" spans="2:8" ht="18.75" x14ac:dyDescent="0.3">
      <c r="B9" s="12" t="s">
        <v>119</v>
      </c>
      <c r="C9" s="16">
        <f>25*C7/100</f>
        <v>6.5000000000000002E-2</v>
      </c>
      <c r="D9" s="8">
        <f>25*D7/100</f>
        <v>0</v>
      </c>
      <c r="E9" s="8">
        <f>25*E7/100</f>
        <v>0</v>
      </c>
      <c r="F9" s="8">
        <f>25*F7/100</f>
        <v>4.24</v>
      </c>
      <c r="G9" s="8">
        <f>25*G7/100</f>
        <v>3.73</v>
      </c>
      <c r="H9" s="1"/>
    </row>
    <row r="10" spans="2:8" ht="63" x14ac:dyDescent="0.3">
      <c r="B10" s="6" t="s">
        <v>33</v>
      </c>
      <c r="C10" s="8">
        <f>20*1.3/100</f>
        <v>0.26</v>
      </c>
      <c r="D10" s="8">
        <f>20*0/100</f>
        <v>0</v>
      </c>
      <c r="E10" s="8">
        <f>20*0/100</f>
        <v>0</v>
      </c>
      <c r="F10" s="63">
        <f>20*94.2/100</f>
        <v>18.84</v>
      </c>
      <c r="G10" s="63">
        <f>20*99.2/100</f>
        <v>19.84</v>
      </c>
      <c r="H10" s="1"/>
    </row>
    <row r="11" spans="2:8" ht="18.75" x14ac:dyDescent="0.3">
      <c r="B11" s="12" t="s">
        <v>6</v>
      </c>
      <c r="C11" s="20" t="s">
        <v>66</v>
      </c>
      <c r="D11" s="56" t="s">
        <v>82</v>
      </c>
      <c r="E11" s="56" t="s">
        <v>82</v>
      </c>
      <c r="F11" s="63" t="s">
        <v>94</v>
      </c>
      <c r="G11" s="64" t="s">
        <v>114</v>
      </c>
      <c r="H11" s="1"/>
    </row>
    <row r="12" spans="2:8" ht="18.75" x14ac:dyDescent="0.3">
      <c r="B12" s="12" t="s">
        <v>119</v>
      </c>
      <c r="C12" s="57">
        <f>25*C10/100</f>
        <v>6.5000000000000002E-2</v>
      </c>
      <c r="D12" s="8">
        <f>25*D10/100</f>
        <v>0</v>
      </c>
      <c r="E12" s="8">
        <f>25*E10/100</f>
        <v>0</v>
      </c>
      <c r="F12" s="8">
        <f>25*F10/100</f>
        <v>4.71</v>
      </c>
      <c r="G12" s="8">
        <f>25*G10/100</f>
        <v>4.96</v>
      </c>
      <c r="H12" s="1"/>
    </row>
    <row r="13" spans="2:8" ht="47.25" x14ac:dyDescent="0.3">
      <c r="B13" s="2" t="s">
        <v>34</v>
      </c>
      <c r="C13" s="58">
        <f>0.5*20</f>
        <v>10</v>
      </c>
      <c r="D13" s="58">
        <f>0.5*20</f>
        <v>10</v>
      </c>
      <c r="E13" s="8">
        <f>1*20</f>
        <v>20</v>
      </c>
      <c r="F13" s="8">
        <f>1*20</f>
        <v>20</v>
      </c>
      <c r="G13" s="8">
        <f>0*20</f>
        <v>0</v>
      </c>
      <c r="H13" s="1"/>
    </row>
    <row r="14" spans="2:8" ht="18.75" x14ac:dyDescent="0.3">
      <c r="B14" s="12" t="s">
        <v>8</v>
      </c>
      <c r="C14" s="24" t="s">
        <v>95</v>
      </c>
      <c r="D14" s="24" t="s">
        <v>95</v>
      </c>
      <c r="E14" s="8" t="s">
        <v>96</v>
      </c>
      <c r="F14" s="23" t="s">
        <v>104</v>
      </c>
      <c r="G14" s="8" t="s">
        <v>105</v>
      </c>
      <c r="H14" s="1"/>
    </row>
    <row r="15" spans="2:8" ht="18.75" x14ac:dyDescent="0.3">
      <c r="B15" s="12" t="s">
        <v>119</v>
      </c>
      <c r="C15" s="18">
        <f>25*C13/100</f>
        <v>2.5</v>
      </c>
      <c r="D15" s="18">
        <f>25*D13/100</f>
        <v>2.5</v>
      </c>
      <c r="E15" s="18">
        <f>25*E13/100</f>
        <v>5</v>
      </c>
      <c r="F15" s="18">
        <f t="shared" ref="F15:G15" si="0">25*F13/100</f>
        <v>5</v>
      </c>
      <c r="G15" s="18">
        <f t="shared" si="0"/>
        <v>0</v>
      </c>
      <c r="H15" s="1"/>
    </row>
    <row r="16" spans="2:8" ht="31.5" x14ac:dyDescent="0.3">
      <c r="B16" s="2" t="s">
        <v>35</v>
      </c>
      <c r="C16" s="19">
        <f>1*20*98.3/100</f>
        <v>19.66</v>
      </c>
      <c r="D16" s="19">
        <f>1*20*89/100</f>
        <v>17.8</v>
      </c>
      <c r="E16" s="19">
        <f>1*20*95.7/100</f>
        <v>19.14</v>
      </c>
      <c r="F16" s="19">
        <f>1*20*97.9/100</f>
        <v>19.579999999999998</v>
      </c>
      <c r="G16" s="19">
        <f>1*20*100/100</f>
        <v>20</v>
      </c>
      <c r="H16" s="1"/>
    </row>
    <row r="17" spans="2:8" ht="18.75" x14ac:dyDescent="0.3">
      <c r="B17" s="12" t="s">
        <v>6</v>
      </c>
      <c r="C17" s="58" t="s">
        <v>107</v>
      </c>
      <c r="D17" s="59" t="s">
        <v>106</v>
      </c>
      <c r="E17" s="59" t="s">
        <v>108</v>
      </c>
      <c r="F17" s="8" t="s">
        <v>97</v>
      </c>
      <c r="G17" s="59" t="s">
        <v>113</v>
      </c>
      <c r="H17" s="1"/>
    </row>
    <row r="18" spans="2:8" ht="18.75" x14ac:dyDescent="0.3">
      <c r="B18" s="12" t="s">
        <v>119</v>
      </c>
      <c r="C18" s="16">
        <f>25*C16/100</f>
        <v>4.915</v>
      </c>
      <c r="D18" s="16">
        <f t="shared" ref="D18:F18" si="1">25*D16/100</f>
        <v>4.45</v>
      </c>
      <c r="E18" s="16">
        <f t="shared" si="1"/>
        <v>4.7850000000000001</v>
      </c>
      <c r="F18" s="16">
        <f t="shared" si="1"/>
        <v>4.8949999999999996</v>
      </c>
      <c r="G18" s="16">
        <f>25*G16/100</f>
        <v>5</v>
      </c>
      <c r="H18" s="1"/>
    </row>
    <row r="19" spans="2:8" ht="18.75" x14ac:dyDescent="0.3">
      <c r="B19" s="111" t="s">
        <v>121</v>
      </c>
      <c r="C19" s="112"/>
      <c r="D19" s="112"/>
      <c r="E19" s="112"/>
      <c r="F19" s="112"/>
      <c r="G19" s="113"/>
      <c r="H19" s="1"/>
    </row>
    <row r="20" spans="2:8" ht="48" x14ac:dyDescent="0.3">
      <c r="B20" s="2" t="s">
        <v>36</v>
      </c>
      <c r="C20" s="25" t="s">
        <v>109</v>
      </c>
      <c r="D20" s="17" t="s">
        <v>110</v>
      </c>
      <c r="E20" s="17" t="s">
        <v>111</v>
      </c>
      <c r="F20" s="17" t="s">
        <v>98</v>
      </c>
      <c r="G20" s="33" t="s">
        <v>112</v>
      </c>
      <c r="H20" s="1"/>
    </row>
    <row r="21" spans="2:8" ht="60.75" x14ac:dyDescent="0.3">
      <c r="B21" s="12" t="s">
        <v>9</v>
      </c>
      <c r="C21" s="26" t="s">
        <v>13</v>
      </c>
      <c r="D21" s="27" t="s">
        <v>12</v>
      </c>
      <c r="E21" s="27" t="s">
        <v>11</v>
      </c>
      <c r="F21" s="27" t="s">
        <v>14</v>
      </c>
      <c r="G21" s="27" t="s">
        <v>10</v>
      </c>
      <c r="H21" s="1"/>
    </row>
    <row r="22" spans="2:8" ht="18.75" x14ac:dyDescent="0.3">
      <c r="B22" s="12" t="s">
        <v>119</v>
      </c>
      <c r="C22" s="59">
        <f>25*20/100</f>
        <v>5</v>
      </c>
      <c r="D22" s="59">
        <f>25*20/100</f>
        <v>5</v>
      </c>
      <c r="E22" s="59">
        <f>25*10/100</f>
        <v>2.5</v>
      </c>
      <c r="F22" s="59">
        <f>25*20/100</f>
        <v>5</v>
      </c>
      <c r="G22" s="59">
        <f>25*10/100</f>
        <v>2.5</v>
      </c>
      <c r="H22" s="1"/>
    </row>
    <row r="23" spans="2:8" ht="47.25" x14ac:dyDescent="0.3">
      <c r="B23" s="4" t="s">
        <v>37</v>
      </c>
      <c r="C23" s="17" t="s">
        <v>83</v>
      </c>
      <c r="D23" s="17" t="s">
        <v>67</v>
      </c>
      <c r="E23" s="17" t="s">
        <v>67</v>
      </c>
      <c r="F23" s="17" t="s">
        <v>67</v>
      </c>
      <c r="G23" s="17">
        <f>10*15.3/100</f>
        <v>1.53</v>
      </c>
      <c r="H23" s="1"/>
    </row>
    <row r="24" spans="2:8" ht="48" x14ac:dyDescent="0.3">
      <c r="B24" s="11" t="s">
        <v>6</v>
      </c>
      <c r="C24" s="17" t="s">
        <v>15</v>
      </c>
      <c r="D24" s="17" t="s">
        <v>15</v>
      </c>
      <c r="E24" s="17" t="s">
        <v>15</v>
      </c>
      <c r="F24" s="17" t="s">
        <v>15</v>
      </c>
      <c r="G24" s="17" t="s">
        <v>20</v>
      </c>
      <c r="H24" s="1"/>
    </row>
    <row r="25" spans="2:8" ht="18.75" x14ac:dyDescent="0.3">
      <c r="B25" s="12" t="s">
        <v>119</v>
      </c>
      <c r="C25" s="59">
        <f>0*25/100</f>
        <v>0</v>
      </c>
      <c r="D25" s="59">
        <f t="shared" ref="D25:F25" si="2">0*25/100</f>
        <v>0</v>
      </c>
      <c r="E25" s="59">
        <f t="shared" si="2"/>
        <v>0</v>
      </c>
      <c r="F25" s="59">
        <f t="shared" si="2"/>
        <v>0</v>
      </c>
      <c r="G25" s="66">
        <f>G23*25/100</f>
        <v>0.38250000000000001</v>
      </c>
      <c r="H25" s="1"/>
    </row>
    <row r="26" spans="2:8" ht="47.25" x14ac:dyDescent="0.3">
      <c r="B26" s="65" t="s">
        <v>38</v>
      </c>
      <c r="C26" s="59">
        <f>10*100/100</f>
        <v>10</v>
      </c>
      <c r="D26" s="17" t="s">
        <v>67</v>
      </c>
      <c r="E26" s="17" t="s">
        <v>67</v>
      </c>
      <c r="F26" s="8">
        <f>10*100/100</f>
        <v>10</v>
      </c>
      <c r="G26" s="8">
        <f>10*84.7/100</f>
        <v>8.4700000000000006</v>
      </c>
      <c r="H26" s="1"/>
    </row>
    <row r="27" spans="2:8" ht="48" x14ac:dyDescent="0.3">
      <c r="B27" s="12" t="s">
        <v>6</v>
      </c>
      <c r="C27" s="8" t="s">
        <v>17</v>
      </c>
      <c r="D27" s="17" t="s">
        <v>16</v>
      </c>
      <c r="E27" s="17" t="s">
        <v>16</v>
      </c>
      <c r="F27" s="17" t="s">
        <v>18</v>
      </c>
      <c r="G27" s="17" t="s">
        <v>19</v>
      </c>
      <c r="H27" s="1"/>
    </row>
    <row r="28" spans="2:8" ht="18.75" x14ac:dyDescent="0.3">
      <c r="B28" s="12" t="s">
        <v>119</v>
      </c>
      <c r="C28" s="8">
        <f>10*25/100</f>
        <v>2.5</v>
      </c>
      <c r="D28" s="8">
        <f>0*25/100</f>
        <v>0</v>
      </c>
      <c r="E28" s="8">
        <f>0*25/100</f>
        <v>0</v>
      </c>
      <c r="F28" s="8">
        <f>F26*25/100</f>
        <v>2.5</v>
      </c>
      <c r="G28" s="16">
        <f>G26*25/100</f>
        <v>2.1175000000000002</v>
      </c>
      <c r="H28" s="1"/>
    </row>
    <row r="29" spans="2:8" ht="18.75" x14ac:dyDescent="0.3">
      <c r="B29" s="5" t="s">
        <v>39</v>
      </c>
      <c r="C29" s="8" t="s">
        <v>67</v>
      </c>
      <c r="D29" s="8" t="s">
        <v>67</v>
      </c>
      <c r="E29" s="8" t="s">
        <v>67</v>
      </c>
      <c r="F29" s="59" t="s">
        <v>67</v>
      </c>
      <c r="G29" s="8" t="s">
        <v>67</v>
      </c>
      <c r="H29" s="1"/>
    </row>
    <row r="30" spans="2:8" ht="32.25" x14ac:dyDescent="0.3">
      <c r="B30" s="12" t="s">
        <v>6</v>
      </c>
      <c r="C30" s="28" t="s">
        <v>21</v>
      </c>
      <c r="D30" s="28" t="s">
        <v>21</v>
      </c>
      <c r="E30" s="28" t="s">
        <v>21</v>
      </c>
      <c r="F30" s="28" t="s">
        <v>21</v>
      </c>
      <c r="G30" s="28" t="s">
        <v>21</v>
      </c>
      <c r="H30" s="1"/>
    </row>
    <row r="31" spans="2:8" ht="18.75" x14ac:dyDescent="0.3">
      <c r="B31" s="12" t="s">
        <v>119</v>
      </c>
      <c r="C31" s="19">
        <f>0*25/100</f>
        <v>0</v>
      </c>
      <c r="D31" s="19">
        <f t="shared" ref="D31:G31" si="3">0*25/100</f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"/>
    </row>
    <row r="32" spans="2:8" ht="47.25" x14ac:dyDescent="0.3">
      <c r="B32" s="6" t="s">
        <v>40</v>
      </c>
      <c r="C32" s="19">
        <f>1*20</f>
        <v>20</v>
      </c>
      <c r="D32" s="19">
        <f t="shared" ref="D32:G32" si="4">1*20</f>
        <v>20</v>
      </c>
      <c r="E32" s="19">
        <f t="shared" si="4"/>
        <v>20</v>
      </c>
      <c r="F32" s="19">
        <f t="shared" si="4"/>
        <v>20</v>
      </c>
      <c r="G32" s="19">
        <f t="shared" si="4"/>
        <v>20</v>
      </c>
      <c r="H32" s="1"/>
    </row>
    <row r="33" spans="2:8" ht="48" x14ac:dyDescent="0.3">
      <c r="B33" s="12" t="s">
        <v>6</v>
      </c>
      <c r="C33" s="28" t="s">
        <v>68</v>
      </c>
      <c r="D33" s="60" t="s">
        <v>84</v>
      </c>
      <c r="E33" s="60" t="s">
        <v>84</v>
      </c>
      <c r="F33" s="28" t="s">
        <v>84</v>
      </c>
      <c r="G33" s="60" t="s">
        <v>84</v>
      </c>
      <c r="H33" s="1"/>
    </row>
    <row r="34" spans="2:8" ht="18.75" x14ac:dyDescent="0.3">
      <c r="B34" s="12" t="s">
        <v>119</v>
      </c>
      <c r="C34" s="19">
        <f>25*C32/100</f>
        <v>5</v>
      </c>
      <c r="D34" s="19">
        <f t="shared" ref="D34:G34" si="5">25*D32/100</f>
        <v>5</v>
      </c>
      <c r="E34" s="19">
        <f t="shared" si="5"/>
        <v>5</v>
      </c>
      <c r="F34" s="19">
        <f t="shared" si="5"/>
        <v>5</v>
      </c>
      <c r="G34" s="19">
        <f t="shared" si="5"/>
        <v>5</v>
      </c>
      <c r="H34" s="1"/>
    </row>
    <row r="35" spans="2:8" ht="47.25" x14ac:dyDescent="0.3">
      <c r="B35" s="2" t="s">
        <v>41</v>
      </c>
      <c r="C35" s="8">
        <f>1*20</f>
        <v>20</v>
      </c>
      <c r="D35" s="8">
        <f t="shared" ref="D35:G35" si="6">1*20</f>
        <v>20</v>
      </c>
      <c r="E35" s="8">
        <f t="shared" si="6"/>
        <v>20</v>
      </c>
      <c r="F35" s="8">
        <f t="shared" si="6"/>
        <v>20</v>
      </c>
      <c r="G35" s="8">
        <f t="shared" si="6"/>
        <v>20</v>
      </c>
      <c r="H35" s="1"/>
    </row>
    <row r="36" spans="2:8" ht="48" x14ac:dyDescent="0.3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 x14ac:dyDescent="0.3">
      <c r="B37" s="12" t="s">
        <v>119</v>
      </c>
      <c r="C37" s="8">
        <f>25*C35/100</f>
        <v>5</v>
      </c>
      <c r="D37" s="8">
        <f t="shared" ref="D37:G37" si="7">25*D35/100</f>
        <v>5</v>
      </c>
      <c r="E37" s="8">
        <f t="shared" si="7"/>
        <v>5</v>
      </c>
      <c r="F37" s="8">
        <f t="shared" si="7"/>
        <v>5</v>
      </c>
      <c r="G37" s="8">
        <f t="shared" si="7"/>
        <v>5</v>
      </c>
      <c r="H37" s="1"/>
    </row>
    <row r="38" spans="2:8" ht="18.75" x14ac:dyDescent="0.3">
      <c r="B38" s="108" t="s">
        <v>122</v>
      </c>
      <c r="C38" s="108"/>
      <c r="D38" s="108"/>
      <c r="E38" s="108"/>
      <c r="F38" s="108"/>
      <c r="G38" s="108"/>
      <c r="H38" s="1"/>
    </row>
    <row r="39" spans="2:8" ht="63" x14ac:dyDescent="0.3">
      <c r="B39" s="6" t="s">
        <v>42</v>
      </c>
      <c r="C39" s="21">
        <f>1*35</f>
        <v>35</v>
      </c>
      <c r="D39" s="21">
        <f t="shared" ref="D39:G39" si="8">1*35</f>
        <v>35</v>
      </c>
      <c r="E39" s="21">
        <f t="shared" si="8"/>
        <v>35</v>
      </c>
      <c r="F39" s="21">
        <f t="shared" si="8"/>
        <v>35</v>
      </c>
      <c r="G39" s="21">
        <f t="shared" si="8"/>
        <v>35</v>
      </c>
      <c r="H39" s="1"/>
    </row>
    <row r="40" spans="2:8" ht="63" customHeight="1" x14ac:dyDescent="0.3">
      <c r="B40" s="12" t="s">
        <v>6</v>
      </c>
      <c r="C40" s="29" t="s">
        <v>70</v>
      </c>
      <c r="D40" s="29" t="s">
        <v>70</v>
      </c>
      <c r="E40" s="29" t="s">
        <v>70</v>
      </c>
      <c r="F40" s="29" t="s">
        <v>70</v>
      </c>
      <c r="G40" s="29" t="s">
        <v>70</v>
      </c>
      <c r="H40" s="1"/>
    </row>
    <row r="41" spans="2:8" ht="18.75" x14ac:dyDescent="0.3">
      <c r="B41" s="12" t="s">
        <v>119</v>
      </c>
      <c r="C41" s="21">
        <f>16*C39/100</f>
        <v>5.6</v>
      </c>
      <c r="D41" s="21">
        <f t="shared" ref="D41:G41" si="9">16*D39/100</f>
        <v>5.6</v>
      </c>
      <c r="E41" s="21">
        <f t="shared" si="9"/>
        <v>5.6</v>
      </c>
      <c r="F41" s="21">
        <f t="shared" si="9"/>
        <v>5.6</v>
      </c>
      <c r="G41" s="21">
        <f t="shared" si="9"/>
        <v>5.6</v>
      </c>
      <c r="H41" s="1"/>
    </row>
    <row r="42" spans="2:8" ht="47.25" x14ac:dyDescent="0.3">
      <c r="B42" s="30" t="s">
        <v>43</v>
      </c>
      <c r="C42" s="31">
        <f>1*35</f>
        <v>35</v>
      </c>
      <c r="D42" s="31">
        <f t="shared" ref="D42:G42" si="10">1*35</f>
        <v>35</v>
      </c>
      <c r="E42" s="31">
        <f t="shared" si="10"/>
        <v>35</v>
      </c>
      <c r="F42" s="31">
        <f t="shared" si="10"/>
        <v>35</v>
      </c>
      <c r="G42" s="31">
        <f t="shared" si="10"/>
        <v>35</v>
      </c>
      <c r="H42" s="1"/>
    </row>
    <row r="43" spans="2:8" ht="48" x14ac:dyDescent="0.3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 x14ac:dyDescent="0.3">
      <c r="B44" s="12" t="s">
        <v>119</v>
      </c>
      <c r="C44" s="20">
        <f>16*C42/100</f>
        <v>5.6</v>
      </c>
      <c r="D44" s="20">
        <f t="shared" ref="D44:G44" si="11">16*D42/100</f>
        <v>5.6</v>
      </c>
      <c r="E44" s="20">
        <f t="shared" si="11"/>
        <v>5.6</v>
      </c>
      <c r="F44" s="20">
        <f t="shared" si="11"/>
        <v>5.6</v>
      </c>
      <c r="G44" s="20">
        <f t="shared" si="11"/>
        <v>5.6</v>
      </c>
      <c r="H44" s="1"/>
    </row>
    <row r="45" spans="2:8" ht="47.25" x14ac:dyDescent="0.3">
      <c r="B45" s="2" t="s">
        <v>44</v>
      </c>
      <c r="C45" s="20">
        <f>0*15</f>
        <v>0</v>
      </c>
      <c r="D45" s="20">
        <f t="shared" ref="D45:G45" si="12">0*15</f>
        <v>0</v>
      </c>
      <c r="E45" s="20">
        <f t="shared" si="12"/>
        <v>0</v>
      </c>
      <c r="F45" s="20">
        <f t="shared" si="12"/>
        <v>0</v>
      </c>
      <c r="G45" s="20">
        <f t="shared" si="12"/>
        <v>0</v>
      </c>
      <c r="H45" s="1"/>
    </row>
    <row r="46" spans="2:8" ht="95.25" x14ac:dyDescent="0.3">
      <c r="B46" s="12" t="s">
        <v>6</v>
      </c>
      <c r="C46" s="32" t="s">
        <v>72</v>
      </c>
      <c r="D46" s="17" t="s">
        <v>72</v>
      </c>
      <c r="E46" s="32" t="s">
        <v>72</v>
      </c>
      <c r="F46" s="17" t="s">
        <v>72</v>
      </c>
      <c r="G46" s="32" t="s">
        <v>72</v>
      </c>
      <c r="H46" s="1"/>
    </row>
    <row r="47" spans="2:8" ht="18.75" x14ac:dyDescent="0.3">
      <c r="B47" s="12" t="s">
        <v>119</v>
      </c>
      <c r="C47" s="8">
        <f>16*C45/100</f>
        <v>0</v>
      </c>
      <c r="D47" s="8">
        <f t="shared" ref="D47:G47" si="13">16*D45/100</f>
        <v>0</v>
      </c>
      <c r="E47" s="8">
        <f t="shared" si="13"/>
        <v>0</v>
      </c>
      <c r="F47" s="8">
        <f t="shared" si="13"/>
        <v>0</v>
      </c>
      <c r="G47" s="8">
        <f t="shared" si="13"/>
        <v>0</v>
      </c>
      <c r="H47" s="1"/>
    </row>
    <row r="48" spans="2:8" ht="78.75" x14ac:dyDescent="0.3">
      <c r="B48" s="6" t="s">
        <v>45</v>
      </c>
      <c r="C48" s="8">
        <f>1*15</f>
        <v>15</v>
      </c>
      <c r="D48" s="8">
        <f t="shared" ref="D48:G48" si="14">1*15</f>
        <v>15</v>
      </c>
      <c r="E48" s="8">
        <f t="shared" si="14"/>
        <v>15</v>
      </c>
      <c r="F48" s="8">
        <f t="shared" si="14"/>
        <v>15</v>
      </c>
      <c r="G48" s="8">
        <f t="shared" si="14"/>
        <v>15</v>
      </c>
      <c r="H48" s="1"/>
    </row>
    <row r="49" spans="1:8" ht="32.25" x14ac:dyDescent="0.3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73</v>
      </c>
      <c r="G49" s="17" t="s">
        <v>73</v>
      </c>
      <c r="H49" s="1"/>
    </row>
    <row r="50" spans="1:8" ht="18.75" x14ac:dyDescent="0.3">
      <c r="B50" s="12" t="s">
        <v>119</v>
      </c>
      <c r="C50" s="8">
        <f>16*C48/100</f>
        <v>2.4</v>
      </c>
      <c r="D50" s="8">
        <f t="shared" ref="D50:G50" si="15">16*D48/100</f>
        <v>2.4</v>
      </c>
      <c r="E50" s="8">
        <f t="shared" si="15"/>
        <v>2.4</v>
      </c>
      <c r="F50" s="8">
        <f t="shared" si="15"/>
        <v>2.4</v>
      </c>
      <c r="G50" s="8">
        <f t="shared" si="15"/>
        <v>2.4</v>
      </c>
      <c r="H50" s="1"/>
    </row>
    <row r="51" spans="1:8" ht="19.5" thickBot="1" x14ac:dyDescent="0.35">
      <c r="B51" s="114" t="s">
        <v>123</v>
      </c>
      <c r="C51" s="112"/>
      <c r="D51" s="112"/>
      <c r="E51" s="112"/>
      <c r="F51" s="112"/>
      <c r="G51" s="113"/>
      <c r="H51" s="1"/>
    </row>
    <row r="52" spans="1:8" ht="31.5" x14ac:dyDescent="0.3">
      <c r="B52" s="3" t="s">
        <v>46</v>
      </c>
      <c r="C52" s="8">
        <f>1*10</f>
        <v>10</v>
      </c>
      <c r="D52" s="8">
        <f t="shared" ref="D52:E52" si="16">1*10</f>
        <v>10</v>
      </c>
      <c r="E52" s="8">
        <f t="shared" si="16"/>
        <v>10</v>
      </c>
      <c r="F52" s="8">
        <f>0*10</f>
        <v>0</v>
      </c>
      <c r="G52" s="8">
        <f>0*10</f>
        <v>0</v>
      </c>
      <c r="H52" s="1"/>
    </row>
    <row r="53" spans="1:8" ht="78.75" x14ac:dyDescent="0.3">
      <c r="B53" s="12" t="s">
        <v>23</v>
      </c>
      <c r="C53" s="33" t="s">
        <v>85</v>
      </c>
      <c r="D53" s="33" t="s">
        <v>86</v>
      </c>
      <c r="E53" s="33" t="s">
        <v>87</v>
      </c>
      <c r="F53" s="33" t="s">
        <v>99</v>
      </c>
      <c r="G53" s="33" t="s">
        <v>99</v>
      </c>
      <c r="H53" s="1"/>
    </row>
    <row r="54" spans="1:8" ht="18.75" x14ac:dyDescent="0.3">
      <c r="B54" s="12" t="s">
        <v>119</v>
      </c>
      <c r="C54" s="8">
        <f>16*C52/100</f>
        <v>1.6</v>
      </c>
      <c r="D54" s="8">
        <f t="shared" ref="D54:G54" si="17">16*D52/100</f>
        <v>1.6</v>
      </c>
      <c r="E54" s="8">
        <f t="shared" si="17"/>
        <v>1.6</v>
      </c>
      <c r="F54" s="8">
        <f t="shared" si="17"/>
        <v>0</v>
      </c>
      <c r="G54" s="8">
        <f t="shared" si="17"/>
        <v>0</v>
      </c>
      <c r="H54" s="1"/>
    </row>
    <row r="55" spans="1:8" ht="47.25" x14ac:dyDescent="0.3">
      <c r="A55" t="s">
        <v>22</v>
      </c>
      <c r="B55" s="6" t="s">
        <v>47</v>
      </c>
      <c r="C55" s="8">
        <f>0*60</f>
        <v>0</v>
      </c>
      <c r="D55" s="8">
        <f t="shared" ref="D55:G55" si="18">0*60</f>
        <v>0</v>
      </c>
      <c r="E55" s="8">
        <f t="shared" si="18"/>
        <v>0</v>
      </c>
      <c r="F55" s="8">
        <f t="shared" si="18"/>
        <v>0</v>
      </c>
      <c r="G55" s="8">
        <f t="shared" si="18"/>
        <v>0</v>
      </c>
      <c r="H55" s="1"/>
    </row>
    <row r="56" spans="1:8" ht="48" x14ac:dyDescent="0.3">
      <c r="B56" s="12" t="s">
        <v>6</v>
      </c>
      <c r="C56" s="25" t="s">
        <v>74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 x14ac:dyDescent="0.3">
      <c r="B57" s="12" t="s">
        <v>119</v>
      </c>
      <c r="C57" s="20">
        <f>16*C55/100</f>
        <v>0</v>
      </c>
      <c r="D57" s="20">
        <f t="shared" ref="D57:G57" si="19">16*D55/100</f>
        <v>0</v>
      </c>
      <c r="E57" s="20">
        <f t="shared" si="19"/>
        <v>0</v>
      </c>
      <c r="F57" s="20">
        <f t="shared" si="19"/>
        <v>0</v>
      </c>
      <c r="G57" s="20">
        <f t="shared" si="19"/>
        <v>0</v>
      </c>
      <c r="H57" s="1"/>
    </row>
    <row r="58" spans="1:8" ht="18.75" x14ac:dyDescent="0.3">
      <c r="B58" s="2" t="s">
        <v>48</v>
      </c>
      <c r="C58" s="20">
        <f>1*15</f>
        <v>15</v>
      </c>
      <c r="D58" s="20">
        <f t="shared" ref="D58:G58" si="20">1*15</f>
        <v>15</v>
      </c>
      <c r="E58" s="20">
        <f t="shared" si="20"/>
        <v>15</v>
      </c>
      <c r="F58" s="20">
        <f t="shared" si="20"/>
        <v>15</v>
      </c>
      <c r="G58" s="20">
        <f t="shared" si="20"/>
        <v>15</v>
      </c>
      <c r="H58" s="1"/>
    </row>
    <row r="59" spans="1:8" ht="32.25" x14ac:dyDescent="0.3">
      <c r="B59" s="12" t="s">
        <v>24</v>
      </c>
      <c r="C59" s="25" t="s">
        <v>75</v>
      </c>
      <c r="D59" s="17" t="s">
        <v>75</v>
      </c>
      <c r="E59" s="25" t="s">
        <v>75</v>
      </c>
      <c r="F59" s="17" t="s">
        <v>75</v>
      </c>
      <c r="G59" s="25" t="s">
        <v>75</v>
      </c>
      <c r="H59" s="1"/>
    </row>
    <row r="60" spans="1:8" ht="18.75" x14ac:dyDescent="0.3">
      <c r="B60" s="12" t="s">
        <v>119</v>
      </c>
      <c r="C60" s="20">
        <f>16*C58/100</f>
        <v>2.4</v>
      </c>
      <c r="D60" s="20">
        <f t="shared" ref="D60:G60" si="21">16*D58/100</f>
        <v>2.4</v>
      </c>
      <c r="E60" s="20">
        <f t="shared" si="21"/>
        <v>2.4</v>
      </c>
      <c r="F60" s="20">
        <f t="shared" si="21"/>
        <v>2.4</v>
      </c>
      <c r="G60" s="20">
        <f t="shared" si="21"/>
        <v>2.4</v>
      </c>
      <c r="H60" s="1"/>
    </row>
    <row r="61" spans="1:8" ht="32.25" x14ac:dyDescent="0.3">
      <c r="B61" s="7" t="s">
        <v>49</v>
      </c>
      <c r="C61" s="20">
        <f>1*15</f>
        <v>15</v>
      </c>
      <c r="D61" s="20">
        <f t="shared" ref="D61:G61" si="22">1*15</f>
        <v>15</v>
      </c>
      <c r="E61" s="20">
        <f t="shared" si="22"/>
        <v>15</v>
      </c>
      <c r="F61" s="20">
        <f t="shared" si="22"/>
        <v>15</v>
      </c>
      <c r="G61" s="20">
        <f t="shared" si="22"/>
        <v>15</v>
      </c>
      <c r="H61" s="1"/>
    </row>
    <row r="62" spans="1:8" ht="18.75" x14ac:dyDescent="0.3">
      <c r="B62" s="12" t="s">
        <v>25</v>
      </c>
      <c r="C62" s="8" t="s">
        <v>76</v>
      </c>
      <c r="D62" s="8" t="s">
        <v>76</v>
      </c>
      <c r="E62" s="8" t="s">
        <v>76</v>
      </c>
      <c r="F62" s="8" t="s">
        <v>76</v>
      </c>
      <c r="G62" s="8" t="s">
        <v>76</v>
      </c>
      <c r="H62" s="1"/>
    </row>
    <row r="63" spans="1:8" ht="18.75" x14ac:dyDescent="0.3">
      <c r="B63" s="12" t="s">
        <v>119</v>
      </c>
      <c r="C63" s="8">
        <f>16*C61/100</f>
        <v>2.4</v>
      </c>
      <c r="D63" s="8">
        <f t="shared" ref="D63:G63" si="23">16*D61/100</f>
        <v>2.4</v>
      </c>
      <c r="E63" s="8">
        <f t="shared" si="23"/>
        <v>2.4</v>
      </c>
      <c r="F63" s="8">
        <f t="shared" si="23"/>
        <v>2.4</v>
      </c>
      <c r="G63" s="8">
        <f t="shared" si="23"/>
        <v>2.4</v>
      </c>
      <c r="H63" s="1"/>
    </row>
    <row r="64" spans="1:8" ht="18.75" x14ac:dyDescent="0.3">
      <c r="B64" s="108" t="s">
        <v>124</v>
      </c>
      <c r="C64" s="108"/>
      <c r="D64" s="108"/>
      <c r="E64" s="108"/>
      <c r="F64" s="108"/>
      <c r="G64" s="108"/>
      <c r="H64" s="1"/>
    </row>
    <row r="65" spans="2:8" ht="31.5" x14ac:dyDescent="0.3">
      <c r="B65" s="2" t="s">
        <v>50</v>
      </c>
      <c r="C65" s="8">
        <f>1*50</f>
        <v>50</v>
      </c>
      <c r="D65" s="8">
        <f t="shared" ref="D65:G65" si="24">1*50</f>
        <v>50</v>
      </c>
      <c r="E65" s="8">
        <f t="shared" si="24"/>
        <v>50</v>
      </c>
      <c r="F65" s="8">
        <f t="shared" si="24"/>
        <v>50</v>
      </c>
      <c r="G65" s="8">
        <f t="shared" si="24"/>
        <v>50</v>
      </c>
      <c r="H65" s="1"/>
    </row>
    <row r="66" spans="2:8" ht="48" x14ac:dyDescent="0.3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100</v>
      </c>
      <c r="G66" s="33" t="s">
        <v>100</v>
      </c>
      <c r="H66" s="1"/>
    </row>
    <row r="67" spans="2:8" ht="18.75" x14ac:dyDescent="0.3">
      <c r="B67" s="12" t="s">
        <v>119</v>
      </c>
      <c r="C67" s="8">
        <f>10*C65/100</f>
        <v>5</v>
      </c>
      <c r="D67" s="8">
        <f t="shared" ref="D67:G67" si="25">10*D65/100</f>
        <v>5</v>
      </c>
      <c r="E67" s="8">
        <f t="shared" si="25"/>
        <v>5</v>
      </c>
      <c r="F67" s="8">
        <f t="shared" si="25"/>
        <v>5</v>
      </c>
      <c r="G67" s="8">
        <f t="shared" si="25"/>
        <v>5</v>
      </c>
      <c r="H67" s="1"/>
    </row>
    <row r="68" spans="2:8" ht="31.5" x14ac:dyDescent="0.3">
      <c r="B68" s="6" t="s">
        <v>51</v>
      </c>
      <c r="C68" s="22">
        <f>1*50</f>
        <v>50</v>
      </c>
      <c r="D68" s="22">
        <f t="shared" ref="D68:G68" si="26">1*50</f>
        <v>50</v>
      </c>
      <c r="E68" s="22">
        <f t="shared" si="26"/>
        <v>50</v>
      </c>
      <c r="F68" s="22">
        <f t="shared" si="26"/>
        <v>50</v>
      </c>
      <c r="G68" s="22">
        <f t="shared" si="26"/>
        <v>50</v>
      </c>
      <c r="H68" s="1"/>
    </row>
    <row r="69" spans="2:8" ht="63.75" x14ac:dyDescent="0.3">
      <c r="B69" s="12" t="s">
        <v>6</v>
      </c>
      <c r="C69" s="17" t="s">
        <v>79</v>
      </c>
      <c r="D69" s="17" t="s">
        <v>79</v>
      </c>
      <c r="E69" s="17" t="s">
        <v>79</v>
      </c>
      <c r="F69" s="17" t="s">
        <v>79</v>
      </c>
      <c r="G69" s="17" t="s">
        <v>79</v>
      </c>
      <c r="H69" s="1"/>
    </row>
    <row r="70" spans="2:8" ht="18.75" x14ac:dyDescent="0.3">
      <c r="B70" s="12" t="s">
        <v>119</v>
      </c>
      <c r="C70" s="59">
        <f>10*C68/100</f>
        <v>5</v>
      </c>
      <c r="D70" s="59">
        <f t="shared" ref="D70:G70" si="27">10*D68/100</f>
        <v>5</v>
      </c>
      <c r="E70" s="59">
        <f t="shared" si="27"/>
        <v>5</v>
      </c>
      <c r="F70" s="59">
        <f t="shared" si="27"/>
        <v>5</v>
      </c>
      <c r="G70" s="59">
        <f t="shared" si="27"/>
        <v>5</v>
      </c>
      <c r="H70" s="1"/>
    </row>
    <row r="71" spans="2:8" ht="18.75" x14ac:dyDescent="0.3">
      <c r="B71" s="108" t="s">
        <v>125</v>
      </c>
      <c r="C71" s="108"/>
      <c r="D71" s="108"/>
      <c r="E71" s="108"/>
      <c r="F71" s="108"/>
      <c r="G71" s="108"/>
      <c r="H71" s="1"/>
    </row>
    <row r="72" spans="2:8" ht="63" x14ac:dyDescent="0.3">
      <c r="B72" s="2" t="s">
        <v>52</v>
      </c>
      <c r="C72" s="8">
        <f>1*50</f>
        <v>50</v>
      </c>
      <c r="D72" s="8">
        <f t="shared" ref="D72:G72" si="28">1*50</f>
        <v>50</v>
      </c>
      <c r="E72" s="8">
        <f t="shared" si="28"/>
        <v>50</v>
      </c>
      <c r="F72" s="8">
        <f t="shared" si="28"/>
        <v>50</v>
      </c>
      <c r="G72" s="8">
        <f t="shared" si="28"/>
        <v>50</v>
      </c>
      <c r="H72" s="1"/>
    </row>
    <row r="73" spans="2:8" ht="54" customHeight="1" x14ac:dyDescent="0.3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 x14ac:dyDescent="0.3">
      <c r="B74" s="12" t="s">
        <v>119</v>
      </c>
      <c r="C74" s="8">
        <f>8*C72/100</f>
        <v>4</v>
      </c>
      <c r="D74" s="8">
        <f t="shared" ref="D74:G74" si="29">8*D72/100</f>
        <v>4</v>
      </c>
      <c r="E74" s="8">
        <f t="shared" si="29"/>
        <v>4</v>
      </c>
      <c r="F74" s="8">
        <f t="shared" si="29"/>
        <v>4</v>
      </c>
      <c r="G74" s="8">
        <f t="shared" si="29"/>
        <v>4</v>
      </c>
      <c r="H74" s="1"/>
    </row>
    <row r="75" spans="2:8" ht="78.75" x14ac:dyDescent="0.3">
      <c r="B75" s="2" t="s">
        <v>53</v>
      </c>
      <c r="C75" s="8">
        <f>1*50</f>
        <v>50</v>
      </c>
      <c r="D75" s="8">
        <f t="shared" ref="D75:E75" si="30">1*50</f>
        <v>50</v>
      </c>
      <c r="E75" s="8">
        <f t="shared" si="30"/>
        <v>50</v>
      </c>
      <c r="F75" s="8">
        <f>1*50</f>
        <v>50</v>
      </c>
      <c r="G75" s="8">
        <f>1*50</f>
        <v>50</v>
      </c>
      <c r="H75" s="1"/>
    </row>
    <row r="76" spans="2:8" ht="63" x14ac:dyDescent="0.3">
      <c r="B76" s="12" t="s">
        <v>6</v>
      </c>
      <c r="C76" s="35" t="s">
        <v>78</v>
      </c>
      <c r="D76" s="33" t="s">
        <v>78</v>
      </c>
      <c r="E76" s="35" t="s">
        <v>78</v>
      </c>
      <c r="F76" s="33" t="s">
        <v>101</v>
      </c>
      <c r="G76" s="33" t="s">
        <v>101</v>
      </c>
      <c r="H76" s="1"/>
    </row>
    <row r="77" spans="2:8" ht="18.75" x14ac:dyDescent="0.3">
      <c r="B77" s="12" t="s">
        <v>119</v>
      </c>
      <c r="C77" s="8">
        <f>8*C75/100</f>
        <v>4</v>
      </c>
      <c r="D77" s="8">
        <f t="shared" ref="D77:G77" si="31">8*D75/100</f>
        <v>4</v>
      </c>
      <c r="E77" s="8">
        <f t="shared" si="31"/>
        <v>4</v>
      </c>
      <c r="F77" s="8">
        <f t="shared" si="31"/>
        <v>4</v>
      </c>
      <c r="G77" s="8">
        <f t="shared" si="31"/>
        <v>4</v>
      </c>
      <c r="H77" s="1"/>
    </row>
    <row r="78" spans="2:8" ht="18.75" x14ac:dyDescent="0.3">
      <c r="B78" s="42" t="s">
        <v>58</v>
      </c>
      <c r="C78" s="67">
        <f>C6+C9+C12+C15+C18+C22+C25+C28+C31+C34+C37+C41+C44+C47+C50+C54+C57+C60+C63+C67+C70+C74+C77</f>
        <v>67.009999999999991</v>
      </c>
      <c r="D78" s="67">
        <f t="shared" ref="D78:G78" si="32">D6+D9+D12+D15+D18+D22+D25+D28+D31+D34+D37+D41+D44+D47+D50+D54+D57+D60+D63+D67+D70+D74+D77</f>
        <v>59.975999999999999</v>
      </c>
      <c r="E78" s="67">
        <f t="shared" si="32"/>
        <v>64.984999999999999</v>
      </c>
      <c r="F78" s="67">
        <f t="shared" si="32"/>
        <v>77.669999999999987</v>
      </c>
      <c r="G78" s="67">
        <f t="shared" si="32"/>
        <v>70.085000000000008</v>
      </c>
      <c r="H78" s="1"/>
    </row>
    <row r="79" spans="2:8" ht="60.75" x14ac:dyDescent="0.3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 x14ac:dyDescent="0.25">
      <c r="B81" t="s">
        <v>116</v>
      </c>
    </row>
    <row r="82" spans="2:5" x14ac:dyDescent="0.2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51:G51"/>
    <mergeCell ref="B38:G38"/>
    <mergeCell ref="B64:G64"/>
  </mergeCells>
  <pageMargins left="0.35433070866141736" right="0" top="0.59055118110236227" bottom="0.59055118110236227" header="0.51181102362204722" footer="0.51181102362204722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opLeftCell="A10" workbookViewId="0">
      <selection activeCell="B20" sqref="B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15" t="s">
        <v>62</v>
      </c>
      <c r="C2" s="115"/>
      <c r="D2" s="115"/>
      <c r="E2" s="115"/>
      <c r="F2" s="115"/>
      <c r="G2" s="115"/>
      <c r="H2" s="1"/>
    </row>
    <row r="3" spans="2:8" ht="63.75" x14ac:dyDescent="0.3">
      <c r="B3" s="13" t="s">
        <v>0</v>
      </c>
      <c r="C3" s="7" t="s">
        <v>1</v>
      </c>
      <c r="D3" s="5" t="s">
        <v>2</v>
      </c>
      <c r="E3" s="7" t="s">
        <v>3</v>
      </c>
      <c r="F3" s="7" t="s">
        <v>4</v>
      </c>
      <c r="G3" s="7" t="s">
        <v>5</v>
      </c>
      <c r="H3" s="1"/>
    </row>
    <row r="4" spans="2:8" ht="30" x14ac:dyDescent="0.3">
      <c r="B4" s="14" t="s">
        <v>27</v>
      </c>
      <c r="C4" s="47">
        <v>0.5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>
        <v>9</v>
      </c>
      <c r="D5" s="49">
        <v>3</v>
      </c>
      <c r="E5" s="50">
        <v>2</v>
      </c>
      <c r="F5" s="49">
        <v>4</v>
      </c>
      <c r="G5" s="49">
        <v>18</v>
      </c>
      <c r="H5" s="1"/>
    </row>
    <row r="6" spans="2:8" ht="18.75" x14ac:dyDescent="0.3">
      <c r="B6" s="12" t="s">
        <v>26</v>
      </c>
      <c r="C6" s="46">
        <v>12.5</v>
      </c>
      <c r="D6" s="49">
        <v>12.5</v>
      </c>
      <c r="E6" s="49">
        <v>12.5</v>
      </c>
      <c r="F6" s="49">
        <v>12.5</v>
      </c>
      <c r="G6" s="49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48">
        <f>30*1</f>
        <v>30</v>
      </c>
      <c r="D15" s="48">
        <f t="shared" ref="D15:G15" si="0">30*1</f>
        <v>30</v>
      </c>
      <c r="E15" s="48">
        <f t="shared" si="0"/>
        <v>30</v>
      </c>
      <c r="F15" s="48">
        <f t="shared" si="0"/>
        <v>30</v>
      </c>
      <c r="G15" s="48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87.5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56</v>
      </c>
      <c r="D17" s="41" t="s">
        <v>56</v>
      </c>
      <c r="E17" s="41" t="s">
        <v>56</v>
      </c>
      <c r="F17" s="40" t="s">
        <v>56</v>
      </c>
      <c r="G17" s="41">
        <v>5</v>
      </c>
      <c r="H17" s="1"/>
    </row>
    <row r="18" spans="2:8" ht="33.75" x14ac:dyDescent="0.3">
      <c r="B18" s="53" t="s">
        <v>54</v>
      </c>
      <c r="C18" s="116">
        <f>(C16+D16+E16+F16+G16)/5</f>
        <v>85</v>
      </c>
      <c r="D18" s="117"/>
      <c r="E18" s="117"/>
      <c r="F18" s="117"/>
      <c r="G18" s="118"/>
      <c r="H18" s="1"/>
    </row>
    <row r="19" spans="2:8" ht="93.75" x14ac:dyDescent="0.3">
      <c r="B19" s="38" t="s">
        <v>57</v>
      </c>
      <c r="C19" s="48">
        <f>100-C16</f>
        <v>12.5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56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E20" sqref="E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15" t="s">
        <v>126</v>
      </c>
      <c r="C2" s="115"/>
      <c r="D2" s="115"/>
      <c r="E2" s="115"/>
      <c r="F2" s="115"/>
      <c r="G2" s="115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1</v>
      </c>
      <c r="E5" s="50">
        <v>0</v>
      </c>
      <c r="F5" s="49">
        <v>7</v>
      </c>
      <c r="G5" s="49">
        <v>14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25</v>
      </c>
      <c r="F6" s="49">
        <v>12.5</v>
      </c>
      <c r="G6" s="49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48">
        <f>30*1</f>
        <v>30</v>
      </c>
      <c r="D15" s="48">
        <f t="shared" ref="D15:G15" si="0">30*1</f>
        <v>30</v>
      </c>
      <c r="E15" s="48">
        <f t="shared" si="0"/>
        <v>30</v>
      </c>
      <c r="F15" s="48">
        <f t="shared" si="0"/>
        <v>30</v>
      </c>
      <c r="G15" s="48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/>
      <c r="D17" s="41"/>
      <c r="E17" s="41"/>
      <c r="F17" s="40"/>
      <c r="G17" s="41"/>
      <c r="H17" s="1"/>
    </row>
    <row r="18" spans="2:8" ht="33.75" x14ac:dyDescent="0.3">
      <c r="B18" s="53" t="s">
        <v>54</v>
      </c>
      <c r="C18" s="116">
        <f>(C16+D16+E16+F16+G16)/5</f>
        <v>85</v>
      </c>
      <c r="D18" s="117"/>
      <c r="E18" s="117"/>
      <c r="F18" s="117"/>
      <c r="G18" s="118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x14ac:dyDescent="0.25">
      <c r="B22" t="s">
        <v>129</v>
      </c>
      <c r="G22" t="s">
        <v>118</v>
      </c>
    </row>
    <row r="24" spans="2:8" x14ac:dyDescent="0.25">
      <c r="B24" t="s">
        <v>130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F13" sqref="F13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15" t="s">
        <v>131</v>
      </c>
      <c r="C2" s="115"/>
      <c r="D2" s="115"/>
      <c r="E2" s="115"/>
      <c r="F2" s="115"/>
      <c r="G2" s="115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7</v>
      </c>
      <c r="E5" s="50">
        <v>0</v>
      </c>
      <c r="F5" s="49">
        <v>5</v>
      </c>
      <c r="G5" s="49" t="s">
        <v>132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25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/>
      <c r="D17" s="41"/>
      <c r="E17" s="41"/>
      <c r="F17" s="40"/>
      <c r="G17" s="41"/>
      <c r="H17" s="1"/>
    </row>
    <row r="18" spans="2:8" ht="33.75" x14ac:dyDescent="0.3">
      <c r="B18" s="53" t="s">
        <v>54</v>
      </c>
      <c r="C18" s="116">
        <f>(C16+D16+E16+F16+G16)/5</f>
        <v>85</v>
      </c>
      <c r="D18" s="117"/>
      <c r="E18" s="117"/>
      <c r="F18" s="117"/>
      <c r="G18" s="118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x14ac:dyDescent="0.25">
      <c r="B22" t="s">
        <v>129</v>
      </c>
      <c r="G22" t="s">
        <v>118</v>
      </c>
    </row>
    <row r="24" spans="2:8" x14ac:dyDescent="0.25">
      <c r="B24" t="s">
        <v>130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D22" sqref="D22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15" t="s">
        <v>133</v>
      </c>
      <c r="C2" s="115"/>
      <c r="D2" s="115"/>
      <c r="E2" s="115"/>
      <c r="F2" s="115"/>
      <c r="G2" s="115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3</v>
      </c>
      <c r="E5" s="50">
        <v>3</v>
      </c>
      <c r="F5" s="49">
        <v>4</v>
      </c>
      <c r="G5" s="49" t="s">
        <v>132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12.5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116">
        <f>(C16+D16+E16+F16+G16)/5</f>
        <v>82.5</v>
      </c>
      <c r="D18" s="117"/>
      <c r="E18" s="117"/>
      <c r="F18" s="117"/>
      <c r="G18" s="118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130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="70" zoomScaleNormal="70" workbookViewId="0">
      <pane ySplit="2" topLeftCell="A54" activePane="bottomLeft" state="frozen"/>
      <selection pane="bottomLeft" activeCell="C74" sqref="C74:G77"/>
    </sheetView>
  </sheetViews>
  <sheetFormatPr defaultRowHeight="15" x14ac:dyDescent="0.25"/>
  <cols>
    <col min="1" max="1" width="1.5703125" customWidth="1"/>
    <col min="2" max="2" width="60.5703125" customWidth="1"/>
    <col min="3" max="7" width="25.85546875" customWidth="1"/>
  </cols>
  <sheetData>
    <row r="1" spans="2:8" ht="61.5" customHeight="1" x14ac:dyDescent="0.25">
      <c r="B1" s="109" t="s">
        <v>136</v>
      </c>
      <c r="C1" s="109"/>
      <c r="D1" s="109"/>
      <c r="E1" s="109"/>
      <c r="F1" s="109"/>
      <c r="G1" s="109"/>
    </row>
    <row r="2" spans="2:8" ht="48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110" t="s">
        <v>120</v>
      </c>
      <c r="C3" s="110"/>
      <c r="D3" s="110"/>
      <c r="E3" s="110"/>
      <c r="F3" s="110"/>
      <c r="G3" s="110"/>
      <c r="H3" s="1"/>
    </row>
    <row r="4" spans="2:8" ht="31.5" x14ac:dyDescent="0.3">
      <c r="B4" s="2" t="s">
        <v>31</v>
      </c>
      <c r="C4" s="8">
        <f>20*92.2/100</f>
        <v>18.440000000000001</v>
      </c>
      <c r="D4" s="16">
        <f>20*0.5/100</f>
        <v>0.1</v>
      </c>
      <c r="E4" s="16">
        <f>20*100/100</f>
        <v>20</v>
      </c>
      <c r="F4" s="16">
        <f>20*97.1/100</f>
        <v>19.420000000000002</v>
      </c>
      <c r="G4" s="16">
        <f>20*99.9/100</f>
        <v>19.98</v>
      </c>
      <c r="H4" s="1"/>
    </row>
    <row r="5" spans="2:8" ht="18.75" x14ac:dyDescent="0.3">
      <c r="B5" s="11" t="s">
        <v>6</v>
      </c>
      <c r="C5" s="72" t="s">
        <v>138</v>
      </c>
      <c r="D5" s="72" t="s">
        <v>137</v>
      </c>
      <c r="E5" s="81" t="s">
        <v>176</v>
      </c>
      <c r="F5" s="72" t="s">
        <v>139</v>
      </c>
      <c r="G5" s="72" t="s">
        <v>140</v>
      </c>
      <c r="H5" s="1"/>
    </row>
    <row r="6" spans="2:8" ht="18.75" x14ac:dyDescent="0.3">
      <c r="B6" s="12" t="s">
        <v>119</v>
      </c>
      <c r="C6" s="66">
        <f>25*C4/100</f>
        <v>4.6100000000000003</v>
      </c>
      <c r="D6" s="66">
        <f>25*D4/100</f>
        <v>2.5000000000000001E-2</v>
      </c>
      <c r="E6" s="66">
        <f>25*E4/100</f>
        <v>5</v>
      </c>
      <c r="F6" s="66">
        <f>25*F4/100</f>
        <v>4.8550000000000004</v>
      </c>
      <c r="G6" s="66">
        <f>25*G4/100</f>
        <v>4.9950000000000001</v>
      </c>
      <c r="H6" s="1"/>
    </row>
    <row r="7" spans="2:8" ht="63" x14ac:dyDescent="0.3">
      <c r="B7" s="2" t="s">
        <v>32</v>
      </c>
      <c r="C7" s="8">
        <f>20*3.05/100</f>
        <v>0.61</v>
      </c>
      <c r="D7" s="17">
        <f>20*100/100</f>
        <v>20</v>
      </c>
      <c r="E7" s="17">
        <f>20*100/100</f>
        <v>20</v>
      </c>
      <c r="F7" s="8">
        <f>20*89.1/100</f>
        <v>17.82</v>
      </c>
      <c r="G7" s="8">
        <f>20*79/100</f>
        <v>15.8</v>
      </c>
      <c r="H7" s="1"/>
    </row>
    <row r="8" spans="2:8" ht="63.75" x14ac:dyDescent="0.3">
      <c r="B8" s="11" t="s">
        <v>6</v>
      </c>
      <c r="C8" s="8" t="s">
        <v>159</v>
      </c>
      <c r="D8" s="17" t="s">
        <v>179</v>
      </c>
      <c r="E8" s="17" t="s">
        <v>180</v>
      </c>
      <c r="F8" s="76" t="s">
        <v>157</v>
      </c>
      <c r="G8" s="76" t="s">
        <v>158</v>
      </c>
      <c r="H8" s="1"/>
    </row>
    <row r="9" spans="2:8" ht="18.75" x14ac:dyDescent="0.3">
      <c r="B9" s="12" t="s">
        <v>119</v>
      </c>
      <c r="C9" s="66">
        <f>25*C7/100</f>
        <v>0.1525</v>
      </c>
      <c r="D9" s="59">
        <f>25*D7/100</f>
        <v>5</v>
      </c>
      <c r="E9" s="59">
        <f>25*E7/100</f>
        <v>5</v>
      </c>
      <c r="F9" s="66">
        <f>25*F7/100</f>
        <v>4.4550000000000001</v>
      </c>
      <c r="G9" s="59">
        <f>25*G7/100</f>
        <v>3.95</v>
      </c>
      <c r="H9" s="1"/>
    </row>
    <row r="10" spans="2:8" ht="63" x14ac:dyDescent="0.3">
      <c r="B10" s="6" t="s">
        <v>33</v>
      </c>
      <c r="C10" s="8">
        <f>20*3.05/100</f>
        <v>0.61</v>
      </c>
      <c r="D10" s="8">
        <f>20*100/100</f>
        <v>20</v>
      </c>
      <c r="E10" s="8">
        <f>20*100/100</f>
        <v>20</v>
      </c>
      <c r="F10" s="63">
        <f>20*97/100</f>
        <v>19.399999999999999</v>
      </c>
      <c r="G10" s="63">
        <f>20*100/100</f>
        <v>20</v>
      </c>
      <c r="H10" s="1"/>
    </row>
    <row r="11" spans="2:8" ht="45.75" x14ac:dyDescent="0.3">
      <c r="B11" s="12" t="s">
        <v>6</v>
      </c>
      <c r="C11" s="20" t="s">
        <v>159</v>
      </c>
      <c r="D11" s="82" t="s">
        <v>181</v>
      </c>
      <c r="E11" s="82" t="s">
        <v>181</v>
      </c>
      <c r="F11" s="76" t="s">
        <v>160</v>
      </c>
      <c r="G11" s="77" t="s">
        <v>161</v>
      </c>
      <c r="H11" s="1"/>
    </row>
    <row r="12" spans="2:8" ht="18.75" x14ac:dyDescent="0.3">
      <c r="B12" s="12" t="s">
        <v>119</v>
      </c>
      <c r="C12" s="84">
        <f>25*C10/100</f>
        <v>0.1525</v>
      </c>
      <c r="D12" s="59">
        <f>25*D10/100</f>
        <v>5</v>
      </c>
      <c r="E12" s="59">
        <f>25*E10/100</f>
        <v>5</v>
      </c>
      <c r="F12" s="59">
        <f>25*F10/100</f>
        <v>4.8499999999999996</v>
      </c>
      <c r="G12" s="59">
        <f>25*G10/100</f>
        <v>5</v>
      </c>
      <c r="H12" s="1"/>
    </row>
    <row r="13" spans="2:8" ht="47.25" x14ac:dyDescent="0.3">
      <c r="B13" s="2" t="s">
        <v>34</v>
      </c>
      <c r="C13" s="58">
        <v>0</v>
      </c>
      <c r="D13" s="58">
        <v>0</v>
      </c>
      <c r="E13" s="8">
        <v>1</v>
      </c>
      <c r="F13" s="8">
        <v>1</v>
      </c>
      <c r="G13" s="8">
        <v>1</v>
      </c>
      <c r="H13" s="1"/>
    </row>
    <row r="14" spans="2:8" ht="63.75" x14ac:dyDescent="0.3">
      <c r="B14" s="12" t="s">
        <v>8</v>
      </c>
      <c r="C14" s="79" t="s">
        <v>182</v>
      </c>
      <c r="D14" s="79" t="s">
        <v>182</v>
      </c>
      <c r="E14" s="17" t="s">
        <v>175</v>
      </c>
      <c r="F14" s="80" t="s">
        <v>183</v>
      </c>
      <c r="G14" s="80" t="s">
        <v>183</v>
      </c>
      <c r="H14" s="1"/>
    </row>
    <row r="15" spans="2:8" ht="18.75" x14ac:dyDescent="0.3">
      <c r="B15" s="12" t="s">
        <v>119</v>
      </c>
      <c r="C15" s="75">
        <f>25*C13/100</f>
        <v>0</v>
      </c>
      <c r="D15" s="75">
        <f>25*D13/100</f>
        <v>0</v>
      </c>
      <c r="E15" s="75">
        <f>25*E13/100</f>
        <v>0.25</v>
      </c>
      <c r="F15" s="75">
        <f t="shared" ref="F15:G15" si="0">25*F13/100</f>
        <v>0.25</v>
      </c>
      <c r="G15" s="75">
        <f t="shared" si="0"/>
        <v>0.25</v>
      </c>
      <c r="H15" s="1"/>
    </row>
    <row r="16" spans="2:8" ht="31.5" x14ac:dyDescent="0.3">
      <c r="B16" s="2" t="s">
        <v>35</v>
      </c>
      <c r="C16" s="19">
        <f>1*20*99.8/100</f>
        <v>19.96</v>
      </c>
      <c r="D16" s="19">
        <f>1*20*100/100</f>
        <v>20</v>
      </c>
      <c r="E16" s="19">
        <f>1*20*100/100</f>
        <v>20</v>
      </c>
      <c r="F16" s="19">
        <f>1*20*99.3/100</f>
        <v>19.86</v>
      </c>
      <c r="G16" s="19">
        <f>1*20*99.9/100</f>
        <v>19.98</v>
      </c>
      <c r="H16" s="1"/>
    </row>
    <row r="17" spans="2:8" ht="18.75" x14ac:dyDescent="0.3">
      <c r="B17" s="12" t="s">
        <v>6</v>
      </c>
      <c r="C17" s="58" t="s">
        <v>165</v>
      </c>
      <c r="D17" s="59" t="s">
        <v>174</v>
      </c>
      <c r="E17" s="59" t="s">
        <v>164</v>
      </c>
      <c r="F17" s="8" t="s">
        <v>163</v>
      </c>
      <c r="G17" s="59" t="s">
        <v>162</v>
      </c>
      <c r="H17" s="1"/>
    </row>
    <row r="18" spans="2:8" ht="18.75" x14ac:dyDescent="0.3">
      <c r="B18" s="12" t="s">
        <v>119</v>
      </c>
      <c r="C18" s="66">
        <f>25*C16/100</f>
        <v>4.99</v>
      </c>
      <c r="D18" s="66">
        <f t="shared" ref="D18:F18" si="1">25*D16/100</f>
        <v>5</v>
      </c>
      <c r="E18" s="66">
        <f t="shared" si="1"/>
        <v>5</v>
      </c>
      <c r="F18" s="66">
        <f t="shared" si="1"/>
        <v>4.9649999999999999</v>
      </c>
      <c r="G18" s="66">
        <f>25*G16/100</f>
        <v>4.9950000000000001</v>
      </c>
      <c r="H18" s="1"/>
    </row>
    <row r="19" spans="2:8" ht="18.75" x14ac:dyDescent="0.3">
      <c r="B19" s="111" t="s">
        <v>121</v>
      </c>
      <c r="C19" s="112"/>
      <c r="D19" s="112"/>
      <c r="E19" s="112"/>
      <c r="F19" s="112"/>
      <c r="G19" s="113"/>
      <c r="H19" s="1"/>
    </row>
    <row r="20" spans="2:8" ht="48" x14ac:dyDescent="0.3">
      <c r="B20" s="2" t="s">
        <v>36</v>
      </c>
      <c r="C20" s="25" t="s">
        <v>142</v>
      </c>
      <c r="D20" s="17" t="s">
        <v>144</v>
      </c>
      <c r="E20" s="17" t="s">
        <v>146</v>
      </c>
      <c r="F20" s="17" t="s">
        <v>148</v>
      </c>
      <c r="G20" s="33" t="s">
        <v>150</v>
      </c>
      <c r="H20" s="1"/>
    </row>
    <row r="21" spans="2:8" ht="60.75" x14ac:dyDescent="0.3">
      <c r="B21" s="12" t="s">
        <v>9</v>
      </c>
      <c r="C21" s="73" t="s">
        <v>141</v>
      </c>
      <c r="D21" s="74" t="s">
        <v>143</v>
      </c>
      <c r="E21" s="74" t="s">
        <v>145</v>
      </c>
      <c r="F21" s="74" t="s">
        <v>147</v>
      </c>
      <c r="G21" s="74" t="s">
        <v>149</v>
      </c>
      <c r="H21" s="1"/>
    </row>
    <row r="22" spans="2:8" ht="18.75" x14ac:dyDescent="0.3">
      <c r="B22" s="12" t="s">
        <v>119</v>
      </c>
      <c r="C22" s="59">
        <f>25*10/100</f>
        <v>2.5</v>
      </c>
      <c r="D22" s="59">
        <f>25*20/100</f>
        <v>5</v>
      </c>
      <c r="E22" s="59">
        <f>25*20/100</f>
        <v>5</v>
      </c>
      <c r="F22" s="59">
        <f>25*20/100</f>
        <v>5</v>
      </c>
      <c r="G22" s="59">
        <f>25*10/100</f>
        <v>2.5</v>
      </c>
      <c r="H22" s="1"/>
    </row>
    <row r="23" spans="2:8" ht="47.25" x14ac:dyDescent="0.3">
      <c r="B23" s="4" t="s">
        <v>37</v>
      </c>
      <c r="C23" s="17">
        <f>10*2.6/100</f>
        <v>0.26</v>
      </c>
      <c r="D23" s="17" t="s">
        <v>67</v>
      </c>
      <c r="E23" s="17" t="s">
        <v>67</v>
      </c>
      <c r="F23" s="17" t="s">
        <v>67</v>
      </c>
      <c r="G23" s="17">
        <f>10*1.5/100</f>
        <v>0.15</v>
      </c>
      <c r="H23" s="1"/>
    </row>
    <row r="24" spans="2:8" ht="48" x14ac:dyDescent="0.3">
      <c r="B24" s="11" t="s">
        <v>6</v>
      </c>
      <c r="C24" s="17" t="s">
        <v>151</v>
      </c>
      <c r="D24" s="17" t="s">
        <v>15</v>
      </c>
      <c r="E24" s="17" t="s">
        <v>15</v>
      </c>
      <c r="F24" s="17" t="s">
        <v>15</v>
      </c>
      <c r="G24" s="17" t="s">
        <v>152</v>
      </c>
      <c r="H24" s="1"/>
    </row>
    <row r="25" spans="2:8" ht="18.75" x14ac:dyDescent="0.3">
      <c r="B25" s="12" t="s">
        <v>119</v>
      </c>
      <c r="C25" s="66">
        <f>C23*25/100</f>
        <v>6.5000000000000002E-2</v>
      </c>
      <c r="D25" s="59">
        <f t="shared" ref="D25:F25" si="2">0*25/100</f>
        <v>0</v>
      </c>
      <c r="E25" s="59">
        <f t="shared" si="2"/>
        <v>0</v>
      </c>
      <c r="F25" s="59">
        <f t="shared" si="2"/>
        <v>0</v>
      </c>
      <c r="G25" s="66">
        <f>G23*25/100</f>
        <v>3.7499999999999999E-2</v>
      </c>
      <c r="H25" s="1"/>
    </row>
    <row r="26" spans="2:8" ht="47.25" x14ac:dyDescent="0.3">
      <c r="B26" s="65" t="s">
        <v>38</v>
      </c>
      <c r="C26" s="59">
        <f>10*92.1/100</f>
        <v>9.2100000000000009</v>
      </c>
      <c r="D26" s="17" t="s">
        <v>67</v>
      </c>
      <c r="E26" s="17" t="s">
        <v>67</v>
      </c>
      <c r="F26" s="8">
        <f>10*107.8/100</f>
        <v>10.78</v>
      </c>
      <c r="G26" s="8">
        <f>10*99.9/100</f>
        <v>9.99</v>
      </c>
      <c r="H26" s="1"/>
    </row>
    <row r="27" spans="2:8" ht="48" x14ac:dyDescent="0.3">
      <c r="B27" s="12" t="s">
        <v>6</v>
      </c>
      <c r="C27" s="8" t="s">
        <v>153</v>
      </c>
      <c r="D27" s="17" t="s">
        <v>16</v>
      </c>
      <c r="E27" s="17" t="s">
        <v>16</v>
      </c>
      <c r="F27" s="17" t="s">
        <v>184</v>
      </c>
      <c r="G27" s="17" t="s">
        <v>154</v>
      </c>
      <c r="H27" s="1"/>
    </row>
    <row r="28" spans="2:8" ht="18.75" x14ac:dyDescent="0.3">
      <c r="B28" s="12" t="s">
        <v>119</v>
      </c>
      <c r="C28" s="66">
        <f>C26*25/100</f>
        <v>2.3025000000000002</v>
      </c>
      <c r="D28" s="59">
        <f>0*25/100</f>
        <v>0</v>
      </c>
      <c r="E28" s="59">
        <f>0*25/100</f>
        <v>0</v>
      </c>
      <c r="F28" s="66">
        <f>F26*25/100</f>
        <v>2.6949999999999998</v>
      </c>
      <c r="G28" s="66">
        <f>G26*25/100</f>
        <v>2.4975000000000001</v>
      </c>
      <c r="H28" s="1"/>
    </row>
    <row r="29" spans="2:8" ht="18.75" x14ac:dyDescent="0.3">
      <c r="B29" s="5" t="s">
        <v>39</v>
      </c>
      <c r="C29" s="59" t="s">
        <v>67</v>
      </c>
      <c r="D29" s="59" t="s">
        <v>67</v>
      </c>
      <c r="E29" s="59" t="s">
        <v>156</v>
      </c>
      <c r="F29" s="59" t="s">
        <v>67</v>
      </c>
      <c r="G29" s="59" t="s">
        <v>67</v>
      </c>
      <c r="H29" s="1"/>
    </row>
    <row r="30" spans="2:8" ht="32.25" x14ac:dyDescent="0.3">
      <c r="B30" s="12" t="s">
        <v>6</v>
      </c>
      <c r="C30" s="60" t="s">
        <v>21</v>
      </c>
      <c r="D30" s="60" t="s">
        <v>21</v>
      </c>
      <c r="E30" s="60" t="s">
        <v>155</v>
      </c>
      <c r="F30" s="60" t="s">
        <v>21</v>
      </c>
      <c r="G30" s="60" t="s">
        <v>21</v>
      </c>
      <c r="H30" s="1"/>
    </row>
    <row r="31" spans="2:8" ht="18.75" x14ac:dyDescent="0.3">
      <c r="B31" s="12" t="s">
        <v>119</v>
      </c>
      <c r="C31" s="85">
        <f>0*25/100</f>
        <v>0</v>
      </c>
      <c r="D31" s="85">
        <f t="shared" ref="D31:G31" si="3">0*25/100</f>
        <v>0</v>
      </c>
      <c r="E31" s="86">
        <f>0.5*25/100</f>
        <v>0.125</v>
      </c>
      <c r="F31" s="85">
        <f t="shared" si="3"/>
        <v>0</v>
      </c>
      <c r="G31" s="85">
        <f t="shared" si="3"/>
        <v>0</v>
      </c>
      <c r="H31" s="1"/>
    </row>
    <row r="32" spans="2:8" ht="47.25" x14ac:dyDescent="0.3">
      <c r="B32" s="6" t="s">
        <v>40</v>
      </c>
      <c r="C32" s="85">
        <f>1*20</f>
        <v>20</v>
      </c>
      <c r="D32" s="85">
        <f t="shared" ref="D32:G32" si="4">1*20</f>
        <v>20</v>
      </c>
      <c r="E32" s="85">
        <f t="shared" si="4"/>
        <v>20</v>
      </c>
      <c r="F32" s="85">
        <f t="shared" si="4"/>
        <v>20</v>
      </c>
      <c r="G32" s="85">
        <f t="shared" si="4"/>
        <v>20</v>
      </c>
      <c r="H32" s="1"/>
    </row>
    <row r="33" spans="2:8" ht="48" x14ac:dyDescent="0.3">
      <c r="B33" s="12" t="s">
        <v>6</v>
      </c>
      <c r="C33" s="60" t="s">
        <v>68</v>
      </c>
      <c r="D33" s="60" t="s">
        <v>84</v>
      </c>
      <c r="E33" s="60" t="s">
        <v>84</v>
      </c>
      <c r="F33" s="60" t="s">
        <v>84</v>
      </c>
      <c r="G33" s="60" t="s">
        <v>84</v>
      </c>
      <c r="H33" s="1"/>
    </row>
    <row r="34" spans="2:8" ht="18.75" x14ac:dyDescent="0.3">
      <c r="B34" s="12" t="s">
        <v>119</v>
      </c>
      <c r="C34" s="85">
        <f>25*C32/100</f>
        <v>5</v>
      </c>
      <c r="D34" s="85">
        <f t="shared" ref="D34:G34" si="5">25*D32/100</f>
        <v>5</v>
      </c>
      <c r="E34" s="85">
        <f t="shared" si="5"/>
        <v>5</v>
      </c>
      <c r="F34" s="85">
        <f t="shared" si="5"/>
        <v>5</v>
      </c>
      <c r="G34" s="85">
        <f t="shared" si="5"/>
        <v>5</v>
      </c>
      <c r="H34" s="1"/>
    </row>
    <row r="35" spans="2:8" ht="47.25" x14ac:dyDescent="0.3">
      <c r="B35" s="2" t="s">
        <v>41</v>
      </c>
      <c r="C35" s="59">
        <f>1*20</f>
        <v>20</v>
      </c>
      <c r="D35" s="59">
        <f t="shared" ref="D35:G35" si="6">1*20</f>
        <v>20</v>
      </c>
      <c r="E35" s="59">
        <f>1*20</f>
        <v>20</v>
      </c>
      <c r="F35" s="59">
        <f t="shared" si="6"/>
        <v>20</v>
      </c>
      <c r="G35" s="59">
        <f t="shared" si="6"/>
        <v>20</v>
      </c>
      <c r="H35" s="1"/>
    </row>
    <row r="36" spans="2:8" ht="48" x14ac:dyDescent="0.3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 x14ac:dyDescent="0.3">
      <c r="B37" s="87" t="s">
        <v>119</v>
      </c>
      <c r="C37" s="59">
        <f>25*C35/100</f>
        <v>5</v>
      </c>
      <c r="D37" s="59">
        <f t="shared" ref="D37:G37" si="7">25*D35/100</f>
        <v>5</v>
      </c>
      <c r="E37" s="59">
        <f t="shared" si="7"/>
        <v>5</v>
      </c>
      <c r="F37" s="59">
        <f t="shared" si="7"/>
        <v>5</v>
      </c>
      <c r="G37" s="59">
        <f t="shared" si="7"/>
        <v>5</v>
      </c>
      <c r="H37" s="1"/>
    </row>
    <row r="38" spans="2:8" ht="18.75" x14ac:dyDescent="0.3">
      <c r="B38" s="119" t="s">
        <v>122</v>
      </c>
      <c r="C38" s="119"/>
      <c r="D38" s="119"/>
      <c r="E38" s="119"/>
      <c r="F38" s="119"/>
      <c r="G38" s="119"/>
      <c r="H38" s="1"/>
    </row>
    <row r="39" spans="2:8" ht="63" x14ac:dyDescent="0.3">
      <c r="B39" s="88" t="s">
        <v>42</v>
      </c>
      <c r="C39" s="89">
        <f>0.8*35</f>
        <v>28</v>
      </c>
      <c r="D39" s="89">
        <f t="shared" ref="D39:E39" si="8">1*35</f>
        <v>35</v>
      </c>
      <c r="E39" s="89">
        <f t="shared" si="8"/>
        <v>35</v>
      </c>
      <c r="F39" s="89">
        <v>28</v>
      </c>
      <c r="G39" s="89">
        <v>28</v>
      </c>
      <c r="H39" s="1"/>
    </row>
    <row r="40" spans="2:8" ht="67.5" customHeight="1" x14ac:dyDescent="0.3">
      <c r="B40" s="87" t="s">
        <v>6</v>
      </c>
      <c r="C40" s="90" t="s">
        <v>166</v>
      </c>
      <c r="D40" s="90" t="s">
        <v>70</v>
      </c>
      <c r="E40" s="90" t="s">
        <v>70</v>
      </c>
      <c r="F40" s="90" t="s">
        <v>166</v>
      </c>
      <c r="G40" s="90" t="s">
        <v>166</v>
      </c>
      <c r="H40" s="1"/>
    </row>
    <row r="41" spans="2:8" ht="18.75" x14ac:dyDescent="0.3">
      <c r="B41" s="87" t="s">
        <v>119</v>
      </c>
      <c r="C41" s="89">
        <f>16*C39/100</f>
        <v>4.4800000000000004</v>
      </c>
      <c r="D41" s="89">
        <f t="shared" ref="D41:G41" si="9">16*D39/100</f>
        <v>5.6</v>
      </c>
      <c r="E41" s="89">
        <f t="shared" si="9"/>
        <v>5.6</v>
      </c>
      <c r="F41" s="89">
        <f t="shared" si="9"/>
        <v>4.4800000000000004</v>
      </c>
      <c r="G41" s="89">
        <f t="shared" si="9"/>
        <v>4.4800000000000004</v>
      </c>
      <c r="H41" s="1"/>
    </row>
    <row r="42" spans="2:8" ht="47.25" x14ac:dyDescent="0.3">
      <c r="B42" s="30" t="s">
        <v>43</v>
      </c>
      <c r="C42" s="31">
        <f>1*35</f>
        <v>35</v>
      </c>
      <c r="D42" s="31">
        <f t="shared" ref="D42:G42" si="10">1*35</f>
        <v>35</v>
      </c>
      <c r="E42" s="31">
        <f t="shared" si="10"/>
        <v>35</v>
      </c>
      <c r="F42" s="31">
        <f t="shared" si="10"/>
        <v>35</v>
      </c>
      <c r="G42" s="31">
        <f t="shared" si="10"/>
        <v>35</v>
      </c>
      <c r="H42" s="1"/>
    </row>
    <row r="43" spans="2:8" ht="48" x14ac:dyDescent="0.3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 x14ac:dyDescent="0.3">
      <c r="B44" s="12" t="s">
        <v>119</v>
      </c>
      <c r="C44" s="58">
        <f>16*C42/100</f>
        <v>5.6</v>
      </c>
      <c r="D44" s="58">
        <f t="shared" ref="D44:G44" si="11">16*D42/100</f>
        <v>5.6</v>
      </c>
      <c r="E44" s="58">
        <f t="shared" si="11"/>
        <v>5.6</v>
      </c>
      <c r="F44" s="58">
        <f t="shared" si="11"/>
        <v>5.6</v>
      </c>
      <c r="G44" s="58">
        <f t="shared" si="11"/>
        <v>5.6</v>
      </c>
      <c r="H44" s="1"/>
    </row>
    <row r="45" spans="2:8" ht="47.25" x14ac:dyDescent="0.3">
      <c r="B45" s="2" t="s">
        <v>44</v>
      </c>
      <c r="C45" s="58">
        <f>0*15</f>
        <v>0</v>
      </c>
      <c r="D45" s="58">
        <f t="shared" ref="D45:G45" si="12">0*15</f>
        <v>0</v>
      </c>
      <c r="E45" s="58">
        <f t="shared" si="12"/>
        <v>0</v>
      </c>
      <c r="F45" s="58">
        <f t="shared" si="12"/>
        <v>0</v>
      </c>
      <c r="G45" s="58">
        <f t="shared" si="12"/>
        <v>0</v>
      </c>
      <c r="H45" s="1"/>
    </row>
    <row r="46" spans="2:8" ht="95.25" x14ac:dyDescent="0.3">
      <c r="B46" s="12" t="s">
        <v>6</v>
      </c>
      <c r="C46" s="91" t="s">
        <v>72</v>
      </c>
      <c r="D46" s="92" t="s">
        <v>72</v>
      </c>
      <c r="E46" s="91" t="s">
        <v>72</v>
      </c>
      <c r="F46" s="92" t="s">
        <v>72</v>
      </c>
      <c r="G46" s="91" t="s">
        <v>72</v>
      </c>
      <c r="H46" s="1"/>
    </row>
    <row r="47" spans="2:8" ht="18.75" x14ac:dyDescent="0.3">
      <c r="B47" s="12" t="s">
        <v>119</v>
      </c>
      <c r="C47" s="59">
        <f>16*C45/100</f>
        <v>0</v>
      </c>
      <c r="D47" s="59">
        <f t="shared" ref="D47:G47" si="13">16*D45/100</f>
        <v>0</v>
      </c>
      <c r="E47" s="59">
        <f t="shared" si="13"/>
        <v>0</v>
      </c>
      <c r="F47" s="59">
        <f t="shared" si="13"/>
        <v>0</v>
      </c>
      <c r="G47" s="59">
        <f t="shared" si="13"/>
        <v>0</v>
      </c>
      <c r="H47" s="1"/>
    </row>
    <row r="48" spans="2:8" ht="78.75" x14ac:dyDescent="0.3">
      <c r="B48" s="6" t="s">
        <v>45</v>
      </c>
      <c r="C48" s="8">
        <v>15</v>
      </c>
      <c r="D48" s="8">
        <f t="shared" ref="D48:E48" si="14">1*15</f>
        <v>15</v>
      </c>
      <c r="E48" s="8">
        <f t="shared" si="14"/>
        <v>15</v>
      </c>
      <c r="F48" s="8">
        <f>0.5*15</f>
        <v>7.5</v>
      </c>
      <c r="G48" s="8">
        <f>0.5*15</f>
        <v>7.5</v>
      </c>
      <c r="H48" s="1"/>
    </row>
    <row r="49" spans="1:8" ht="48" x14ac:dyDescent="0.3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178</v>
      </c>
      <c r="G49" s="17" t="s">
        <v>177</v>
      </c>
      <c r="H49" s="1"/>
    </row>
    <row r="50" spans="1:8" ht="18.75" x14ac:dyDescent="0.3">
      <c r="B50" s="12" t="s">
        <v>119</v>
      </c>
      <c r="C50" s="59">
        <f>16*C48/100</f>
        <v>2.4</v>
      </c>
      <c r="D50" s="59">
        <f t="shared" ref="D50:G50" si="15">16*D48/100</f>
        <v>2.4</v>
      </c>
      <c r="E50" s="59">
        <f t="shared" si="15"/>
        <v>2.4</v>
      </c>
      <c r="F50" s="59">
        <f t="shared" si="15"/>
        <v>1.2</v>
      </c>
      <c r="G50" s="59">
        <f t="shared" si="15"/>
        <v>1.2</v>
      </c>
      <c r="H50" s="1"/>
    </row>
    <row r="51" spans="1:8" ht="19.5" thickBot="1" x14ac:dyDescent="0.35">
      <c r="B51" s="114" t="s">
        <v>123</v>
      </c>
      <c r="C51" s="112"/>
      <c r="D51" s="112"/>
      <c r="E51" s="112"/>
      <c r="F51" s="112"/>
      <c r="G51" s="113"/>
      <c r="H51" s="1"/>
    </row>
    <row r="52" spans="1:8" ht="31.5" x14ac:dyDescent="0.3">
      <c r="B52" s="3" t="s">
        <v>46</v>
      </c>
      <c r="C52" s="8">
        <f>1*10</f>
        <v>10</v>
      </c>
      <c r="D52" s="8">
        <f t="shared" ref="D52:E52" si="16">1*10</f>
        <v>10</v>
      </c>
      <c r="E52" s="8">
        <f t="shared" si="16"/>
        <v>10</v>
      </c>
      <c r="F52" s="8">
        <f>0*10</f>
        <v>0</v>
      </c>
      <c r="G52" s="8">
        <f>1*10</f>
        <v>10</v>
      </c>
      <c r="H52" s="1"/>
    </row>
    <row r="53" spans="1:8" ht="78.75" x14ac:dyDescent="0.3">
      <c r="B53" s="78" t="s">
        <v>173</v>
      </c>
      <c r="C53" s="33" t="s">
        <v>167</v>
      </c>
      <c r="D53" s="33" t="s">
        <v>168</v>
      </c>
      <c r="E53" s="33" t="s">
        <v>169</v>
      </c>
      <c r="F53" s="33" t="s">
        <v>99</v>
      </c>
      <c r="G53" s="33" t="s">
        <v>168</v>
      </c>
      <c r="H53" s="1"/>
    </row>
    <row r="54" spans="1:8" ht="18.75" x14ac:dyDescent="0.3">
      <c r="B54" s="12" t="s">
        <v>119</v>
      </c>
      <c r="C54" s="59">
        <f>16*C52/100</f>
        <v>1.6</v>
      </c>
      <c r="D54" s="59">
        <f t="shared" ref="D54:G54" si="17">16*D52/100</f>
        <v>1.6</v>
      </c>
      <c r="E54" s="59">
        <f t="shared" si="17"/>
        <v>1.6</v>
      </c>
      <c r="F54" s="59">
        <f t="shared" si="17"/>
        <v>0</v>
      </c>
      <c r="G54" s="59">
        <f t="shared" si="17"/>
        <v>1.6</v>
      </c>
      <c r="H54" s="1"/>
    </row>
    <row r="55" spans="1:8" ht="31.5" x14ac:dyDescent="0.3">
      <c r="A55" t="s">
        <v>22</v>
      </c>
      <c r="B55" s="6" t="s">
        <v>47</v>
      </c>
      <c r="C55" s="8">
        <f>1*60</f>
        <v>60</v>
      </c>
      <c r="D55" s="8">
        <f t="shared" ref="D55:G55" si="18">0*60</f>
        <v>0</v>
      </c>
      <c r="E55" s="8">
        <f t="shared" si="18"/>
        <v>0</v>
      </c>
      <c r="F55" s="8">
        <f t="shared" si="18"/>
        <v>0</v>
      </c>
      <c r="G55" s="8">
        <f t="shared" si="18"/>
        <v>0</v>
      </c>
      <c r="H55" s="1"/>
    </row>
    <row r="56" spans="1:8" ht="48" x14ac:dyDescent="0.3">
      <c r="B56" s="12" t="s">
        <v>6</v>
      </c>
      <c r="C56" s="25" t="s">
        <v>170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 x14ac:dyDescent="0.3">
      <c r="B57" s="12" t="s">
        <v>119</v>
      </c>
      <c r="C57" s="58">
        <f>16*C55/100</f>
        <v>9.6</v>
      </c>
      <c r="D57" s="58">
        <f t="shared" ref="D57:G57" si="19">16*D55/100</f>
        <v>0</v>
      </c>
      <c r="E57" s="58">
        <f t="shared" si="19"/>
        <v>0</v>
      </c>
      <c r="F57" s="58">
        <f t="shared" si="19"/>
        <v>0</v>
      </c>
      <c r="G57" s="58">
        <f t="shared" si="19"/>
        <v>0</v>
      </c>
      <c r="H57" s="1"/>
    </row>
    <row r="58" spans="1:8" ht="18.75" x14ac:dyDescent="0.3">
      <c r="B58" s="2" t="s">
        <v>48</v>
      </c>
      <c r="C58" s="58">
        <f>1*15</f>
        <v>15</v>
      </c>
      <c r="D58" s="58">
        <f t="shared" ref="D58:G58" si="20">1*15</f>
        <v>15</v>
      </c>
      <c r="E58" s="58">
        <f t="shared" si="20"/>
        <v>15</v>
      </c>
      <c r="F58" s="58">
        <f t="shared" si="20"/>
        <v>15</v>
      </c>
      <c r="G58" s="58">
        <f t="shared" si="20"/>
        <v>15</v>
      </c>
      <c r="H58" s="1"/>
    </row>
    <row r="59" spans="1:8" ht="32.25" x14ac:dyDescent="0.3">
      <c r="B59" s="12" t="s">
        <v>172</v>
      </c>
      <c r="C59" s="93" t="s">
        <v>75</v>
      </c>
      <c r="D59" s="92" t="s">
        <v>75</v>
      </c>
      <c r="E59" s="93" t="s">
        <v>75</v>
      </c>
      <c r="F59" s="92" t="s">
        <v>75</v>
      </c>
      <c r="G59" s="93" t="s">
        <v>75</v>
      </c>
      <c r="H59" s="1"/>
    </row>
    <row r="60" spans="1:8" ht="18.75" x14ac:dyDescent="0.3">
      <c r="B60" s="12" t="s">
        <v>119</v>
      </c>
      <c r="C60" s="58">
        <f>16*C58/100</f>
        <v>2.4</v>
      </c>
      <c r="D60" s="58">
        <f t="shared" ref="D60:G60" si="21">16*D58/100</f>
        <v>2.4</v>
      </c>
      <c r="E60" s="58">
        <f t="shared" si="21"/>
        <v>2.4</v>
      </c>
      <c r="F60" s="58">
        <f t="shared" si="21"/>
        <v>2.4</v>
      </c>
      <c r="G60" s="58">
        <f t="shared" si="21"/>
        <v>2.4</v>
      </c>
      <c r="H60" s="1"/>
    </row>
    <row r="61" spans="1:8" ht="32.25" x14ac:dyDescent="0.3">
      <c r="B61" s="7" t="s">
        <v>49</v>
      </c>
      <c r="C61" s="58">
        <f>1*15</f>
        <v>15</v>
      </c>
      <c r="D61" s="58">
        <f t="shared" ref="D61:G61" si="22">1*15</f>
        <v>15</v>
      </c>
      <c r="E61" s="58">
        <f t="shared" si="22"/>
        <v>15</v>
      </c>
      <c r="F61" s="58">
        <f t="shared" si="22"/>
        <v>15</v>
      </c>
      <c r="G61" s="58">
        <f t="shared" si="22"/>
        <v>15</v>
      </c>
      <c r="H61" s="1"/>
    </row>
    <row r="62" spans="1:8" ht="18.75" x14ac:dyDescent="0.3">
      <c r="B62" s="12" t="s">
        <v>171</v>
      </c>
      <c r="C62" s="59" t="s">
        <v>76</v>
      </c>
      <c r="D62" s="59" t="s">
        <v>76</v>
      </c>
      <c r="E62" s="59" t="s">
        <v>76</v>
      </c>
      <c r="F62" s="59" t="s">
        <v>76</v>
      </c>
      <c r="G62" s="59" t="s">
        <v>76</v>
      </c>
      <c r="H62" s="1"/>
    </row>
    <row r="63" spans="1:8" ht="18.75" x14ac:dyDescent="0.3">
      <c r="B63" s="12" t="s">
        <v>119</v>
      </c>
      <c r="C63" s="59">
        <f>16*C61/100</f>
        <v>2.4</v>
      </c>
      <c r="D63" s="59">
        <f t="shared" ref="D63:G63" si="23">16*D61/100</f>
        <v>2.4</v>
      </c>
      <c r="E63" s="59">
        <f t="shared" si="23"/>
        <v>2.4</v>
      </c>
      <c r="F63" s="59">
        <f t="shared" si="23"/>
        <v>2.4</v>
      </c>
      <c r="G63" s="59">
        <f t="shared" si="23"/>
        <v>2.4</v>
      </c>
      <c r="H63" s="1"/>
    </row>
    <row r="64" spans="1:8" ht="18.75" x14ac:dyDescent="0.3">
      <c r="B64" s="108" t="s">
        <v>124</v>
      </c>
      <c r="C64" s="108"/>
      <c r="D64" s="108"/>
      <c r="E64" s="108"/>
      <c r="F64" s="108"/>
      <c r="G64" s="108"/>
      <c r="H64" s="1"/>
    </row>
    <row r="65" spans="2:8" ht="31.5" x14ac:dyDescent="0.3">
      <c r="B65" s="2" t="s">
        <v>50</v>
      </c>
      <c r="C65" s="8">
        <f>1*50</f>
        <v>50</v>
      </c>
      <c r="D65" s="8">
        <f t="shared" ref="D65:G65" si="24">1*50</f>
        <v>50</v>
      </c>
      <c r="E65" s="8">
        <f t="shared" si="24"/>
        <v>50</v>
      </c>
      <c r="F65" s="8">
        <f t="shared" si="24"/>
        <v>50</v>
      </c>
      <c r="G65" s="8">
        <f t="shared" si="24"/>
        <v>50</v>
      </c>
      <c r="H65" s="1"/>
    </row>
    <row r="66" spans="2:8" ht="48" x14ac:dyDescent="0.3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90</v>
      </c>
      <c r="G66" s="33" t="s">
        <v>100</v>
      </c>
      <c r="H66" s="1"/>
    </row>
    <row r="67" spans="2:8" ht="18.75" x14ac:dyDescent="0.3">
      <c r="B67" s="12" t="s">
        <v>119</v>
      </c>
      <c r="C67" s="59">
        <f>10*C65/100</f>
        <v>5</v>
      </c>
      <c r="D67" s="59">
        <f t="shared" ref="D67:G67" si="25">10*D65/100</f>
        <v>5</v>
      </c>
      <c r="E67" s="59">
        <f t="shared" si="25"/>
        <v>5</v>
      </c>
      <c r="F67" s="59">
        <f t="shared" si="25"/>
        <v>5</v>
      </c>
      <c r="G67" s="59">
        <f t="shared" si="25"/>
        <v>5</v>
      </c>
      <c r="H67" s="1"/>
    </row>
    <row r="68" spans="2:8" ht="31.5" x14ac:dyDescent="0.3">
      <c r="B68" s="6" t="s">
        <v>51</v>
      </c>
      <c r="C68" s="94">
        <f>1*50</f>
        <v>50</v>
      </c>
      <c r="D68" s="94">
        <f t="shared" ref="D68:G68" si="26">1*50</f>
        <v>50</v>
      </c>
      <c r="E68" s="94">
        <f t="shared" si="26"/>
        <v>50</v>
      </c>
      <c r="F68" s="94">
        <f t="shared" si="26"/>
        <v>50</v>
      </c>
      <c r="G68" s="94">
        <f t="shared" si="26"/>
        <v>50</v>
      </c>
      <c r="H68" s="1"/>
    </row>
    <row r="69" spans="2:8" ht="63.75" x14ac:dyDescent="0.3">
      <c r="B69" s="12" t="s">
        <v>6</v>
      </c>
      <c r="C69" s="92" t="s">
        <v>79</v>
      </c>
      <c r="D69" s="92" t="s">
        <v>79</v>
      </c>
      <c r="E69" s="92" t="s">
        <v>79</v>
      </c>
      <c r="F69" s="92" t="s">
        <v>79</v>
      </c>
      <c r="G69" s="92" t="s">
        <v>79</v>
      </c>
      <c r="H69" s="1"/>
    </row>
    <row r="70" spans="2:8" ht="18.75" x14ac:dyDescent="0.3">
      <c r="B70" s="12" t="s">
        <v>119</v>
      </c>
      <c r="C70" s="59">
        <f>10*C68/100</f>
        <v>5</v>
      </c>
      <c r="D70" s="59">
        <f t="shared" ref="D70:G70" si="27">10*D68/100</f>
        <v>5</v>
      </c>
      <c r="E70" s="59">
        <f t="shared" si="27"/>
        <v>5</v>
      </c>
      <c r="F70" s="59">
        <f t="shared" si="27"/>
        <v>5</v>
      </c>
      <c r="G70" s="59">
        <f t="shared" si="27"/>
        <v>5</v>
      </c>
      <c r="H70" s="1"/>
    </row>
    <row r="71" spans="2:8" ht="18.75" x14ac:dyDescent="0.3">
      <c r="B71" s="108" t="s">
        <v>125</v>
      </c>
      <c r="C71" s="108"/>
      <c r="D71" s="108"/>
      <c r="E71" s="108"/>
      <c r="F71" s="108"/>
      <c r="G71" s="108"/>
      <c r="H71" s="1"/>
    </row>
    <row r="72" spans="2:8" ht="63" x14ac:dyDescent="0.3">
      <c r="B72" s="2" t="s">
        <v>52</v>
      </c>
      <c r="C72" s="8">
        <f>1*50</f>
        <v>50</v>
      </c>
      <c r="D72" s="8">
        <f t="shared" ref="D72:G72" si="28">1*50</f>
        <v>50</v>
      </c>
      <c r="E72" s="8">
        <f t="shared" si="28"/>
        <v>50</v>
      </c>
      <c r="F72" s="8">
        <f t="shared" si="28"/>
        <v>50</v>
      </c>
      <c r="G72" s="8">
        <f t="shared" si="28"/>
        <v>50</v>
      </c>
      <c r="H72" s="1"/>
    </row>
    <row r="73" spans="2:8" ht="54" customHeight="1" x14ac:dyDescent="0.3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 x14ac:dyDescent="0.3">
      <c r="B74" s="12" t="s">
        <v>119</v>
      </c>
      <c r="C74" s="59">
        <f>8*C72/100</f>
        <v>4</v>
      </c>
      <c r="D74" s="59">
        <f t="shared" ref="D74:G74" si="29">8*D72/100</f>
        <v>4</v>
      </c>
      <c r="E74" s="59">
        <f t="shared" si="29"/>
        <v>4</v>
      </c>
      <c r="F74" s="59">
        <f t="shared" si="29"/>
        <v>4</v>
      </c>
      <c r="G74" s="59">
        <f t="shared" si="29"/>
        <v>4</v>
      </c>
      <c r="H74" s="1"/>
    </row>
    <row r="75" spans="2:8" ht="78.75" x14ac:dyDescent="0.3">
      <c r="B75" s="2" t="s">
        <v>53</v>
      </c>
      <c r="C75" s="59">
        <f>1*50</f>
        <v>50</v>
      </c>
      <c r="D75" s="59">
        <f t="shared" ref="D75:E75" si="30">1*50</f>
        <v>50</v>
      </c>
      <c r="E75" s="59">
        <f t="shared" si="30"/>
        <v>50</v>
      </c>
      <c r="F75" s="59">
        <f>1*50</f>
        <v>50</v>
      </c>
      <c r="G75" s="59">
        <f>1*50</f>
        <v>50</v>
      </c>
      <c r="H75" s="1"/>
    </row>
    <row r="76" spans="2:8" ht="47.25" x14ac:dyDescent="0.3">
      <c r="B76" s="12" t="s">
        <v>6</v>
      </c>
      <c r="C76" s="95" t="s">
        <v>78</v>
      </c>
      <c r="D76" s="96" t="s">
        <v>78</v>
      </c>
      <c r="E76" s="95" t="s">
        <v>78</v>
      </c>
      <c r="F76" s="96" t="s">
        <v>101</v>
      </c>
      <c r="G76" s="96" t="s">
        <v>101</v>
      </c>
      <c r="H76" s="1"/>
    </row>
    <row r="77" spans="2:8" ht="18.75" x14ac:dyDescent="0.3">
      <c r="B77" s="12" t="s">
        <v>119</v>
      </c>
      <c r="C77" s="59">
        <f>8*C75/100</f>
        <v>4</v>
      </c>
      <c r="D77" s="59">
        <f t="shared" ref="D77:G77" si="31">8*D75/100</f>
        <v>4</v>
      </c>
      <c r="E77" s="59">
        <f t="shared" si="31"/>
        <v>4</v>
      </c>
      <c r="F77" s="59">
        <f t="shared" si="31"/>
        <v>4</v>
      </c>
      <c r="G77" s="59">
        <f t="shared" si="31"/>
        <v>4</v>
      </c>
      <c r="H77" s="1"/>
    </row>
    <row r="78" spans="2:8" ht="18.75" x14ac:dyDescent="0.3">
      <c r="B78" s="42" t="s">
        <v>58</v>
      </c>
      <c r="C78" s="83">
        <f>C6+C9+C12+C15+C18+C22+C25+C28+C31+C34+C37+C41+C44+C47+C50+C54+C57+C60+C63+C67+C70+C74+C77</f>
        <v>71.252499999999998</v>
      </c>
      <c r="D78" s="83">
        <f t="shared" ref="D78:G78" si="32">D6+D9+D12+D15+D18+D22+D25+D28+D31+D34+D37+D41+D44+D47+D50+D54+D57+D60+D63+D67+D70+D74+D77</f>
        <v>68.025000000000006</v>
      </c>
      <c r="E78" s="83">
        <f t="shared" si="32"/>
        <v>73.375</v>
      </c>
      <c r="F78" s="67">
        <f t="shared" si="32"/>
        <v>71.150000000000006</v>
      </c>
      <c r="G78" s="83">
        <f t="shared" si="32"/>
        <v>69.905000000000001</v>
      </c>
      <c r="H78" s="1"/>
    </row>
    <row r="79" spans="2:8" ht="60.75" x14ac:dyDescent="0.3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 x14ac:dyDescent="0.25">
      <c r="B81" t="s">
        <v>116</v>
      </c>
    </row>
    <row r="82" spans="2:5" x14ac:dyDescent="0.2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60" zoomScaleNormal="100" workbookViewId="0">
      <selection activeCell="C8" sqref="C8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15" t="s">
        <v>186</v>
      </c>
      <c r="C2" s="115"/>
      <c r="D2" s="115"/>
      <c r="E2" s="115"/>
      <c r="F2" s="115"/>
      <c r="G2" s="115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"/>
    </row>
    <row r="5" spans="2:8" ht="18.75" x14ac:dyDescent="0.3">
      <c r="B5" s="12" t="s">
        <v>6</v>
      </c>
      <c r="C5" s="69" t="s">
        <v>128</v>
      </c>
      <c r="D5" s="50">
        <v>7</v>
      </c>
      <c r="E5" s="50">
        <v>2</v>
      </c>
      <c r="F5" s="50">
        <v>2</v>
      </c>
      <c r="G5" s="50" t="s">
        <v>132</v>
      </c>
      <c r="H5" s="1"/>
    </row>
    <row r="6" spans="2:8" ht="18.75" x14ac:dyDescent="0.3">
      <c r="B6" s="12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18.75" x14ac:dyDescent="0.3">
      <c r="B8" s="12" t="s">
        <v>6</v>
      </c>
      <c r="C8" s="69" t="s">
        <v>63</v>
      </c>
      <c r="D8" s="99"/>
      <c r="E8" s="99"/>
      <c r="F8" s="99"/>
      <c r="G8" s="99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 x14ac:dyDescent="0.3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116">
        <f>(C16+D16+E16+F16+G16)/5</f>
        <v>82.5</v>
      </c>
      <c r="D18" s="117"/>
      <c r="E18" s="117"/>
      <c r="F18" s="117"/>
      <c r="G18" s="118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topLeftCell="A4" zoomScale="70" zoomScaleNormal="100" zoomScaleSheetLayoutView="70" workbookViewId="0">
      <selection activeCell="G23" sqref="G23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15" t="s">
        <v>187</v>
      </c>
      <c r="C2" s="115"/>
      <c r="D2" s="115"/>
      <c r="E2" s="115"/>
      <c r="F2" s="115"/>
      <c r="G2" s="115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97">
        <v>0</v>
      </c>
      <c r="D4" s="70">
        <v>0.5</v>
      </c>
      <c r="E4" s="70">
        <v>1</v>
      </c>
      <c r="F4" s="70">
        <v>0.5</v>
      </c>
      <c r="G4" s="70">
        <v>0.5</v>
      </c>
      <c r="H4" s="1"/>
    </row>
    <row r="5" spans="2:8" ht="18.75" x14ac:dyDescent="0.3">
      <c r="B5" s="12" t="s">
        <v>6</v>
      </c>
      <c r="C5" s="69" t="s">
        <v>128</v>
      </c>
      <c r="D5" s="50">
        <v>6</v>
      </c>
      <c r="E5" s="50">
        <v>0</v>
      </c>
      <c r="F5" s="50">
        <v>2</v>
      </c>
      <c r="G5" s="50">
        <v>7</v>
      </c>
      <c r="H5" s="1"/>
    </row>
    <row r="6" spans="2:8" ht="18.75" x14ac:dyDescent="0.3">
      <c r="B6" s="12" t="s">
        <v>26</v>
      </c>
      <c r="C6" s="69">
        <v>0</v>
      </c>
      <c r="D6" s="50">
        <v>12.5</v>
      </c>
      <c r="E6" s="50">
        <v>25</v>
      </c>
      <c r="F6" s="50">
        <v>12.5</v>
      </c>
      <c r="G6" s="50">
        <v>12.5</v>
      </c>
      <c r="H6" s="1"/>
    </row>
    <row r="7" spans="2:8" ht="63" x14ac:dyDescent="0.3">
      <c r="B7" s="2" t="s">
        <v>30</v>
      </c>
      <c r="C7" s="98">
        <v>0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41.25" customHeight="1" x14ac:dyDescent="0.3">
      <c r="B8" s="12" t="s">
        <v>6</v>
      </c>
      <c r="C8" s="103" t="s">
        <v>188</v>
      </c>
      <c r="D8" s="120" t="s">
        <v>63</v>
      </c>
      <c r="E8" s="121"/>
      <c r="F8" s="121"/>
      <c r="G8" s="122"/>
      <c r="H8" s="1"/>
    </row>
    <row r="9" spans="2:8" ht="18.75" x14ac:dyDescent="0.3">
      <c r="B9" s="87" t="s">
        <v>26</v>
      </c>
      <c r="C9" s="69">
        <v>0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 x14ac:dyDescent="0.3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87.5</v>
      </c>
      <c r="H16" s="1"/>
    </row>
    <row r="17" spans="2:8" ht="18.75" x14ac:dyDescent="0.3">
      <c r="B17" s="37" t="s">
        <v>55</v>
      </c>
      <c r="C17" s="40" t="s">
        <v>191</v>
      </c>
      <c r="D17" s="40" t="s">
        <v>190</v>
      </c>
      <c r="E17" s="40" t="s">
        <v>189</v>
      </c>
      <c r="F17" s="40" t="s">
        <v>190</v>
      </c>
      <c r="G17" s="40" t="s">
        <v>190</v>
      </c>
      <c r="H17" s="1"/>
    </row>
    <row r="18" spans="2:8" ht="33.75" x14ac:dyDescent="0.3">
      <c r="B18" s="53" t="s">
        <v>54</v>
      </c>
      <c r="C18" s="116">
        <f>(C16+D16+E16+F16+G16)/5</f>
        <v>82.5</v>
      </c>
      <c r="D18" s="117"/>
      <c r="E18" s="117"/>
      <c r="F18" s="117"/>
      <c r="G18" s="118"/>
      <c r="H18" s="1"/>
    </row>
    <row r="19" spans="2:8" ht="93.75" x14ac:dyDescent="0.3">
      <c r="B19" s="38" t="s">
        <v>57</v>
      </c>
      <c r="C19" s="48">
        <f>100-C16</f>
        <v>50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12.5</v>
      </c>
      <c r="H19" s="1"/>
    </row>
    <row r="20" spans="2:8" ht="74.25" customHeight="1" x14ac:dyDescent="0.3">
      <c r="B20" s="54" t="s">
        <v>61</v>
      </c>
      <c r="C20" s="44" t="s">
        <v>193</v>
      </c>
      <c r="D20" s="44" t="s">
        <v>60</v>
      </c>
      <c r="E20" s="44" t="s">
        <v>192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194</v>
      </c>
      <c r="C22" s="71"/>
      <c r="D22" s="71"/>
      <c r="E22" s="71"/>
      <c r="F22" s="71"/>
      <c r="G22" s="71" t="s">
        <v>195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C18:G18"/>
    <mergeCell ref="D8:G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view="pageBreakPreview" topLeftCell="A10" zoomScale="70" zoomScaleNormal="100" zoomScaleSheetLayoutView="70" workbookViewId="0">
      <selection activeCell="C18" sqref="C18:G18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15" t="s">
        <v>196</v>
      </c>
      <c r="C2" s="115"/>
      <c r="D2" s="115"/>
      <c r="E2" s="115"/>
      <c r="F2" s="115"/>
      <c r="G2" s="115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s="106" customFormat="1" ht="30" x14ac:dyDescent="0.3">
      <c r="B4" s="10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05"/>
    </row>
    <row r="5" spans="2:8" s="106" customFormat="1" ht="18.75" x14ac:dyDescent="0.3">
      <c r="B5" s="87" t="s">
        <v>6</v>
      </c>
      <c r="C5" s="69" t="s">
        <v>128</v>
      </c>
      <c r="D5" s="50">
        <v>6</v>
      </c>
      <c r="E5" s="50">
        <v>3</v>
      </c>
      <c r="F5" s="50">
        <v>5</v>
      </c>
      <c r="G5" s="69" t="s">
        <v>128</v>
      </c>
      <c r="H5" s="105"/>
    </row>
    <row r="6" spans="2:8" s="106" customFormat="1" ht="18.75" x14ac:dyDescent="0.3">
      <c r="B6" s="87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05"/>
    </row>
    <row r="7" spans="2:8" s="106" customFormat="1" ht="63" x14ac:dyDescent="0.3">
      <c r="B7" s="107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05"/>
    </row>
    <row r="8" spans="2:8" s="106" customFormat="1" ht="76.5" customHeight="1" x14ac:dyDescent="0.3">
      <c r="B8" s="87" t="s">
        <v>6</v>
      </c>
      <c r="C8" s="103" t="s">
        <v>197</v>
      </c>
      <c r="D8" s="120" t="s">
        <v>63</v>
      </c>
      <c r="E8" s="123"/>
      <c r="F8" s="123"/>
      <c r="G8" s="124"/>
      <c r="H8" s="105"/>
    </row>
    <row r="9" spans="2:8" s="106" customFormat="1" ht="18.75" x14ac:dyDescent="0.3">
      <c r="B9" s="87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05"/>
    </row>
    <row r="10" spans="2:8" s="106" customFormat="1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05"/>
    </row>
    <row r="11" spans="2:8" s="106" customFormat="1" ht="18.75" x14ac:dyDescent="0.3">
      <c r="B11" s="87" t="s">
        <v>6</v>
      </c>
      <c r="C11" s="69" t="s">
        <v>64</v>
      </c>
      <c r="D11" s="99"/>
      <c r="E11" s="99"/>
      <c r="F11" s="99"/>
      <c r="G11" s="99"/>
      <c r="H11" s="105"/>
    </row>
    <row r="12" spans="2:8" s="106" customFormat="1" ht="18.75" x14ac:dyDescent="0.3">
      <c r="B12" s="87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05"/>
    </row>
    <row r="13" spans="2:8" s="106" customFormat="1" ht="79.5" x14ac:dyDescent="0.3">
      <c r="B13" s="62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5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116">
        <f>(C16+D16+E16+F16+G16)/5</f>
        <v>82.5</v>
      </c>
      <c r="D18" s="117"/>
      <c r="E18" s="117"/>
      <c r="F18" s="117"/>
      <c r="G18" s="118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74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194</v>
      </c>
      <c r="C22" s="71"/>
      <c r="D22" s="71"/>
      <c r="E22" s="71"/>
      <c r="F22" s="71"/>
      <c r="G22" s="71" t="s">
        <v>195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D8:G8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2015г </vt:lpstr>
      <vt:lpstr>1 кв 2016г </vt:lpstr>
      <vt:lpstr>2 кв 2016г  (2)</vt:lpstr>
      <vt:lpstr>3 кв 2016г </vt:lpstr>
      <vt:lpstr>4 кв 2016г </vt:lpstr>
      <vt:lpstr>2016г  </vt:lpstr>
      <vt:lpstr>1 кв 2017г</vt:lpstr>
      <vt:lpstr>2 кв 2017г </vt:lpstr>
      <vt:lpstr>3 кв 2017г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2017-10-09T06:34:02Z</dcterms:modified>
</cp:coreProperties>
</file>